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/>
  <mc:AlternateContent xmlns:mc="http://schemas.openxmlformats.org/markup-compatibility/2006">
    <mc:Choice Requires="x15">
      <x15ac:absPath xmlns:x15ac="http://schemas.microsoft.com/office/spreadsheetml/2010/11/ac" url="/Users/justusdonderwinkel/Desktop/Uitvoerend ZIN/Cijfers ZIN/"/>
    </mc:Choice>
  </mc:AlternateContent>
  <xr:revisionPtr revIDLastSave="0" documentId="13_ncr:1_{D38DBE5D-5536-E048-9AF2-0FCD33575AB7}" xr6:coauthVersionLast="47" xr6:coauthVersionMax="47" xr10:uidLastSave="{00000000-0000-0000-0000-000000000000}"/>
  <bookViews>
    <workbookView xWindow="0" yWindow="700" windowWidth="20920" windowHeight="18780" activeTab="1" xr2:uid="{00000000-000D-0000-FFFF-FFFF00000000}"/>
  </bookViews>
  <sheets>
    <sheet name="kengetallen" sheetId="3" r:id="rId1"/>
    <sheet name="Zal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3" l="1"/>
  <c r="O49" i="3"/>
  <c r="I119" i="3"/>
  <c r="H119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T49" i="3"/>
  <c r="S49" i="3"/>
  <c r="R49" i="3"/>
  <c r="Q49" i="3"/>
  <c r="P49" i="3"/>
  <c r="M49" i="3"/>
  <c r="L49" i="3"/>
  <c r="K49" i="3"/>
  <c r="J49" i="3"/>
  <c r="I49" i="3"/>
  <c r="H49" i="3"/>
  <c r="T115" i="3"/>
  <c r="T78" i="3"/>
  <c r="S45" i="3"/>
  <c r="R45" i="3"/>
  <c r="Q45" i="3"/>
  <c r="P45" i="3"/>
  <c r="O45" i="3"/>
  <c r="N45" i="3"/>
  <c r="M45" i="3"/>
  <c r="L45" i="3"/>
  <c r="K45" i="3"/>
  <c r="J45" i="3"/>
  <c r="I45" i="3"/>
  <c r="H45" i="3"/>
  <c r="T45" i="3" s="1"/>
  <c r="T15" i="3"/>
  <c r="U10" i="3"/>
  <c r="I131" i="3"/>
  <c r="H131" i="3"/>
  <c r="H134" i="3" s="1"/>
  <c r="H140" i="3"/>
  <c r="D135" i="3"/>
  <c r="I134" i="3"/>
  <c r="D134" i="3"/>
  <c r="B134" i="3"/>
  <c r="D132" i="3"/>
  <c r="S131" i="3"/>
  <c r="R131" i="3"/>
  <c r="R134" i="3" s="1"/>
  <c r="Q131" i="3"/>
  <c r="Q134" i="3" s="1"/>
  <c r="P131" i="3"/>
  <c r="O131" i="3"/>
  <c r="N131" i="3"/>
  <c r="N134" i="3" s="1"/>
  <c r="M131" i="3"/>
  <c r="M134" i="3" s="1"/>
  <c r="L131" i="3"/>
  <c r="L134" i="3" s="1"/>
  <c r="K131" i="3"/>
  <c r="J131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B130" i="3"/>
  <c r="W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B129" i="3"/>
  <c r="W128" i="3"/>
  <c r="S128" i="3"/>
  <c r="R128" i="3"/>
  <c r="Q128" i="3"/>
  <c r="P128" i="3"/>
  <c r="D128" i="3"/>
  <c r="W127" i="3"/>
  <c r="S127" i="3"/>
  <c r="R127" i="3"/>
  <c r="Q127" i="3"/>
  <c r="P127" i="3"/>
  <c r="D127" i="3"/>
  <c r="T126" i="3"/>
  <c r="T128" i="3" s="1"/>
  <c r="O126" i="3"/>
  <c r="O127" i="3" s="1"/>
  <c r="N126" i="3"/>
  <c r="N127" i="3" s="1"/>
  <c r="M126" i="3"/>
  <c r="M128" i="3" s="1"/>
  <c r="L126" i="3"/>
  <c r="L128" i="3" s="1"/>
  <c r="K126" i="3"/>
  <c r="K128" i="3" s="1"/>
  <c r="J126" i="3"/>
  <c r="J127" i="3" s="1"/>
  <c r="I126" i="3"/>
  <c r="I128" i="3" s="1"/>
  <c r="H126" i="3"/>
  <c r="H127" i="3" s="1"/>
  <c r="B126" i="3"/>
  <c r="B127" i="3" s="1"/>
  <c r="T125" i="3"/>
  <c r="S125" i="3"/>
  <c r="R125" i="3"/>
  <c r="Q125" i="3"/>
  <c r="P125" i="3"/>
  <c r="O125" i="3"/>
  <c r="N125" i="3"/>
  <c r="N121" i="3" s="1"/>
  <c r="M125" i="3"/>
  <c r="L125" i="3"/>
  <c r="K125" i="3"/>
  <c r="J125" i="3"/>
  <c r="I125" i="3"/>
  <c r="H125" i="3"/>
  <c r="B125" i="3"/>
  <c r="B121" i="3" s="1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T123" i="3"/>
  <c r="S123" i="3"/>
  <c r="R123" i="3"/>
  <c r="Q123" i="3"/>
  <c r="P123" i="3"/>
  <c r="P117" i="3" s="1"/>
  <c r="O123" i="3"/>
  <c r="N123" i="3"/>
  <c r="M123" i="3"/>
  <c r="L123" i="3"/>
  <c r="K123" i="3"/>
  <c r="K117" i="3" s="1"/>
  <c r="J123" i="3"/>
  <c r="I123" i="3"/>
  <c r="H123" i="3"/>
  <c r="G123" i="3"/>
  <c r="B123" i="3"/>
  <c r="B118" i="3" s="1"/>
  <c r="D122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S113" i="3"/>
  <c r="Q113" i="3"/>
  <c r="O113" i="3"/>
  <c r="N113" i="3"/>
  <c r="L113" i="3"/>
  <c r="J113" i="3"/>
  <c r="H113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T109" i="3"/>
  <c r="S109" i="3"/>
  <c r="R109" i="3"/>
  <c r="Q109" i="3"/>
  <c r="Q135" i="3" s="1"/>
  <c r="P109" i="3"/>
  <c r="O109" i="3"/>
  <c r="N109" i="3"/>
  <c r="N135" i="3" s="1"/>
  <c r="M109" i="3"/>
  <c r="M135" i="3" s="1"/>
  <c r="L109" i="3"/>
  <c r="K109" i="3"/>
  <c r="J109" i="3"/>
  <c r="I109" i="3"/>
  <c r="I135" i="3" s="1"/>
  <c r="H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B106" i="3"/>
  <c r="F105" i="3"/>
  <c r="H103" i="3"/>
  <c r="D98" i="3"/>
  <c r="D97" i="3"/>
  <c r="B97" i="3"/>
  <c r="T96" i="3"/>
  <c r="D95" i="3"/>
  <c r="S94" i="3"/>
  <c r="S97" i="3" s="1"/>
  <c r="R94" i="3"/>
  <c r="R97" i="3" s="1"/>
  <c r="Q94" i="3"/>
  <c r="P94" i="3"/>
  <c r="O94" i="3"/>
  <c r="O97" i="3" s="1"/>
  <c r="N94" i="3"/>
  <c r="N97" i="3" s="1"/>
  <c r="M94" i="3"/>
  <c r="M97" i="3" s="1"/>
  <c r="L94" i="3"/>
  <c r="K94" i="3"/>
  <c r="K97" i="3" s="1"/>
  <c r="J94" i="3"/>
  <c r="J97" i="3" s="1"/>
  <c r="I94" i="3"/>
  <c r="H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B93" i="3"/>
  <c r="W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B92" i="3"/>
  <c r="W91" i="3"/>
  <c r="D91" i="3"/>
  <c r="W90" i="3"/>
  <c r="D90" i="3"/>
  <c r="T89" i="3"/>
  <c r="T90" i="3" s="1"/>
  <c r="S89" i="3"/>
  <c r="S91" i="3" s="1"/>
  <c r="R89" i="3"/>
  <c r="R91" i="3" s="1"/>
  <c r="Q89" i="3"/>
  <c r="Q90" i="3" s="1"/>
  <c r="P89" i="3"/>
  <c r="P90" i="3" s="1"/>
  <c r="O89" i="3"/>
  <c r="O91" i="3" s="1"/>
  <c r="N89" i="3"/>
  <c r="M89" i="3"/>
  <c r="M91" i="3" s="1"/>
  <c r="L89" i="3"/>
  <c r="L90" i="3" s="1"/>
  <c r="K89" i="3"/>
  <c r="K91" i="3" s="1"/>
  <c r="J89" i="3"/>
  <c r="J91" i="3" s="1"/>
  <c r="I89" i="3"/>
  <c r="I90" i="3" s="1"/>
  <c r="H89" i="3"/>
  <c r="H90" i="3" s="1"/>
  <c r="B89" i="3"/>
  <c r="B90" i="3" s="1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B88" i="3"/>
  <c r="B84" i="3" s="1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T86" i="3"/>
  <c r="S86" i="3"/>
  <c r="R86" i="3"/>
  <c r="R80" i="3" s="1"/>
  <c r="Q86" i="3"/>
  <c r="P86" i="3"/>
  <c r="O86" i="3"/>
  <c r="N86" i="3"/>
  <c r="M86" i="3"/>
  <c r="M80" i="3" s="1"/>
  <c r="L86" i="3"/>
  <c r="K86" i="3"/>
  <c r="J86" i="3"/>
  <c r="I86" i="3"/>
  <c r="I80" i="3" s="1"/>
  <c r="H86" i="3"/>
  <c r="G86" i="3"/>
  <c r="B86" i="3"/>
  <c r="B81" i="3" s="1"/>
  <c r="D85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S76" i="3"/>
  <c r="Q76" i="3"/>
  <c r="O76" i="3"/>
  <c r="N76" i="3"/>
  <c r="L76" i="3"/>
  <c r="J76" i="3"/>
  <c r="H76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T72" i="3"/>
  <c r="S72" i="3"/>
  <c r="R72" i="3"/>
  <c r="Q72" i="3"/>
  <c r="Q98" i="3" s="1"/>
  <c r="P72" i="3"/>
  <c r="O72" i="3"/>
  <c r="O98" i="3" s="1"/>
  <c r="N72" i="3"/>
  <c r="N98" i="3" s="1"/>
  <c r="M72" i="3"/>
  <c r="M98" i="3" s="1"/>
  <c r="L72" i="3"/>
  <c r="L98" i="3" s="1"/>
  <c r="K72" i="3"/>
  <c r="J72" i="3"/>
  <c r="J98" i="3" s="1"/>
  <c r="I72" i="3"/>
  <c r="I98" i="3" s="1"/>
  <c r="H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B69" i="3"/>
  <c r="F68" i="3"/>
  <c r="D65" i="3"/>
  <c r="S64" i="3"/>
  <c r="R64" i="3"/>
  <c r="Q64" i="3"/>
  <c r="P64" i="3"/>
  <c r="O64" i="3"/>
  <c r="M64" i="3"/>
  <c r="L64" i="3"/>
  <c r="K64" i="3"/>
  <c r="J64" i="3"/>
  <c r="I64" i="3"/>
  <c r="H64" i="3"/>
  <c r="D64" i="3"/>
  <c r="B64" i="3"/>
  <c r="N63" i="3"/>
  <c r="T63" i="3" s="1"/>
  <c r="D62" i="3"/>
  <c r="T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B60" i="3"/>
  <c r="W59" i="3"/>
  <c r="S59" i="3"/>
  <c r="R59" i="3"/>
  <c r="Q59" i="3"/>
  <c r="P59" i="3"/>
  <c r="O59" i="3"/>
  <c r="N59" i="3"/>
  <c r="M59" i="3"/>
  <c r="L59" i="3"/>
  <c r="K59" i="3"/>
  <c r="J59" i="3"/>
  <c r="I59" i="3"/>
  <c r="H59" i="3"/>
  <c r="B59" i="3"/>
  <c r="W58" i="3"/>
  <c r="D58" i="3"/>
  <c r="W57" i="3"/>
  <c r="D57" i="3"/>
  <c r="T56" i="3"/>
  <c r="T57" i="3" s="1"/>
  <c r="S56" i="3"/>
  <c r="S58" i="3" s="1"/>
  <c r="R56" i="3"/>
  <c r="R58" i="3" s="1"/>
  <c r="Q56" i="3"/>
  <c r="Q58" i="3" s="1"/>
  <c r="P56" i="3"/>
  <c r="P57" i="3" s="1"/>
  <c r="O56" i="3"/>
  <c r="O58" i="3" s="1"/>
  <c r="N56" i="3"/>
  <c r="N58" i="3" s="1"/>
  <c r="M56" i="3"/>
  <c r="M57" i="3" s="1"/>
  <c r="L56" i="3"/>
  <c r="L57" i="3" s="1"/>
  <c r="K56" i="3"/>
  <c r="K58" i="3" s="1"/>
  <c r="J56" i="3"/>
  <c r="J58" i="3" s="1"/>
  <c r="I56" i="3"/>
  <c r="I57" i="3" s="1"/>
  <c r="H56" i="3"/>
  <c r="H57" i="3" s="1"/>
  <c r="B56" i="3"/>
  <c r="T55" i="3"/>
  <c r="T51" i="3" s="1"/>
  <c r="S55" i="3"/>
  <c r="R55" i="3"/>
  <c r="Q55" i="3"/>
  <c r="P55" i="3"/>
  <c r="O55" i="3"/>
  <c r="N55" i="3"/>
  <c r="M55" i="3"/>
  <c r="L55" i="3"/>
  <c r="K55" i="3"/>
  <c r="K51" i="3" s="1"/>
  <c r="J55" i="3"/>
  <c r="I55" i="3"/>
  <c r="H55" i="3"/>
  <c r="B55" i="3"/>
  <c r="B51" i="3" s="1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T53" i="3"/>
  <c r="T48" i="3" s="1"/>
  <c r="S53" i="3"/>
  <c r="R53" i="3"/>
  <c r="Q53" i="3"/>
  <c r="P53" i="3"/>
  <c r="O53" i="3"/>
  <c r="N53" i="3"/>
  <c r="M53" i="3"/>
  <c r="L53" i="3"/>
  <c r="L48" i="3" s="1"/>
  <c r="K53" i="3"/>
  <c r="J53" i="3"/>
  <c r="J48" i="3" s="1"/>
  <c r="I53" i="3"/>
  <c r="H53" i="3"/>
  <c r="G53" i="3"/>
  <c r="B53" i="3"/>
  <c r="B48" i="3" s="1"/>
  <c r="D52" i="3"/>
  <c r="U44" i="3"/>
  <c r="S44" i="3"/>
  <c r="R44" i="3"/>
  <c r="Q44" i="3"/>
  <c r="P44" i="3"/>
  <c r="O44" i="3"/>
  <c r="N44" i="3"/>
  <c r="I44" i="3"/>
  <c r="H44" i="3"/>
  <c r="S43" i="3"/>
  <c r="R43" i="3"/>
  <c r="Q43" i="3"/>
  <c r="P43" i="3"/>
  <c r="O43" i="3"/>
  <c r="N43" i="3"/>
  <c r="L43" i="3"/>
  <c r="J43" i="3"/>
  <c r="I43" i="3"/>
  <c r="H43" i="3"/>
  <c r="P42" i="3"/>
  <c r="O42" i="3"/>
  <c r="P41" i="3"/>
  <c r="O41" i="3"/>
  <c r="N41" i="3"/>
  <c r="M41" i="3"/>
  <c r="L41" i="3"/>
  <c r="K41" i="3"/>
  <c r="J41" i="3"/>
  <c r="I41" i="3"/>
  <c r="H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T39" i="3"/>
  <c r="S39" i="3"/>
  <c r="S65" i="3" s="1"/>
  <c r="R39" i="3"/>
  <c r="Q39" i="3"/>
  <c r="P39" i="3"/>
  <c r="P65" i="3" s="1"/>
  <c r="O39" i="3"/>
  <c r="O62" i="3" s="1"/>
  <c r="N39" i="3"/>
  <c r="M39" i="3"/>
  <c r="L39" i="3"/>
  <c r="L65" i="3" s="1"/>
  <c r="K39" i="3"/>
  <c r="K65" i="3" s="1"/>
  <c r="J39" i="3"/>
  <c r="I39" i="3"/>
  <c r="I65" i="3" s="1"/>
  <c r="H39" i="3"/>
  <c r="H62" i="3" s="1"/>
  <c r="B39" i="3"/>
  <c r="B65" i="3" s="1"/>
  <c r="S38" i="3"/>
  <c r="R38" i="3"/>
  <c r="Q38" i="3"/>
  <c r="P38" i="3"/>
  <c r="M38" i="3"/>
  <c r="L38" i="3"/>
  <c r="K38" i="3"/>
  <c r="J38" i="3"/>
  <c r="I38" i="3"/>
  <c r="H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B36" i="3"/>
  <c r="F35" i="3"/>
  <c r="T33" i="3"/>
  <c r="I31" i="3"/>
  <c r="H31" i="3"/>
  <c r="D31" i="3"/>
  <c r="S30" i="3"/>
  <c r="R30" i="3"/>
  <c r="Q30" i="3"/>
  <c r="P30" i="3"/>
  <c r="O30" i="3"/>
  <c r="N30" i="3"/>
  <c r="M30" i="3"/>
  <c r="L30" i="3"/>
  <c r="K30" i="3"/>
  <c r="J30" i="3"/>
  <c r="I30" i="3"/>
  <c r="H30" i="3"/>
  <c r="D30" i="3"/>
  <c r="B30" i="3"/>
  <c r="I28" i="3"/>
  <c r="H28" i="3"/>
  <c r="D28" i="3"/>
  <c r="T27" i="3"/>
  <c r="T30" i="3" s="1"/>
  <c r="T26" i="3"/>
  <c r="S26" i="3"/>
  <c r="R26" i="3"/>
  <c r="Q26" i="3"/>
  <c r="L26" i="3"/>
  <c r="K26" i="3"/>
  <c r="J26" i="3"/>
  <c r="I26" i="3"/>
  <c r="H26" i="3"/>
  <c r="B26" i="3"/>
  <c r="T25" i="3"/>
  <c r="S25" i="3"/>
  <c r="R25" i="3"/>
  <c r="Q25" i="3"/>
  <c r="P25" i="3"/>
  <c r="L25" i="3"/>
  <c r="K25" i="3"/>
  <c r="J25" i="3"/>
  <c r="B25" i="3"/>
  <c r="O24" i="3"/>
  <c r="N24" i="3"/>
  <c r="M24" i="3"/>
  <c r="L24" i="3"/>
  <c r="K24" i="3"/>
  <c r="I24" i="3"/>
  <c r="H24" i="3"/>
  <c r="D24" i="3"/>
  <c r="O23" i="3"/>
  <c r="N23" i="3"/>
  <c r="M23" i="3"/>
  <c r="L23" i="3"/>
  <c r="K23" i="3"/>
  <c r="I23" i="3"/>
  <c r="H23" i="3"/>
  <c r="D23" i="3"/>
  <c r="T22" i="3"/>
  <c r="S22" i="3"/>
  <c r="S23" i="3" s="1"/>
  <c r="R22" i="3"/>
  <c r="R24" i="3" s="1"/>
  <c r="Q22" i="3"/>
  <c r="Q24" i="3" s="1"/>
  <c r="P22" i="3"/>
  <c r="J22" i="3"/>
  <c r="J23" i="3" s="1"/>
  <c r="B22" i="3"/>
  <c r="T21" i="3"/>
  <c r="T17" i="3" s="1"/>
  <c r="S21" i="3"/>
  <c r="R21" i="3"/>
  <c r="Q21" i="3"/>
  <c r="P21" i="3"/>
  <c r="J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T19" i="3"/>
  <c r="T14" i="3" s="1"/>
  <c r="S19" i="3"/>
  <c r="R19" i="3"/>
  <c r="Q19" i="3"/>
  <c r="P19" i="3"/>
  <c r="O19" i="3"/>
  <c r="N19" i="3"/>
  <c r="M19" i="3"/>
  <c r="L19" i="3"/>
  <c r="K19" i="3"/>
  <c r="J19" i="3"/>
  <c r="I19" i="3"/>
  <c r="H19" i="3"/>
  <c r="H12" i="3" s="1"/>
  <c r="G19" i="3"/>
  <c r="B19" i="3"/>
  <c r="D18" i="3"/>
  <c r="J17" i="3"/>
  <c r="J16" i="3"/>
  <c r="J12" i="3"/>
  <c r="S10" i="3"/>
  <c r="R10" i="3"/>
  <c r="Q10" i="3"/>
  <c r="P10" i="3"/>
  <c r="O10" i="3"/>
  <c r="N10" i="3"/>
  <c r="M10" i="3"/>
  <c r="L10" i="3"/>
  <c r="K10" i="3"/>
  <c r="J10" i="3"/>
  <c r="I10" i="3"/>
  <c r="I18" i="3" s="1"/>
  <c r="H10" i="3"/>
  <c r="H18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T6" i="3"/>
  <c r="S6" i="3"/>
  <c r="R6" i="3"/>
  <c r="Q6" i="3"/>
  <c r="P6" i="3"/>
  <c r="O6" i="3"/>
  <c r="N6" i="3"/>
  <c r="M6" i="3"/>
  <c r="L6" i="3"/>
  <c r="K6" i="3"/>
  <c r="J6" i="3"/>
  <c r="T5" i="3"/>
  <c r="T18" i="3" s="1"/>
  <c r="S5" i="3"/>
  <c r="S28" i="3" s="1"/>
  <c r="R5" i="3"/>
  <c r="R31" i="3" s="1"/>
  <c r="Q5" i="3"/>
  <c r="Q28" i="3" s="1"/>
  <c r="P5" i="3"/>
  <c r="O5" i="3"/>
  <c r="O31" i="3" s="1"/>
  <c r="N5" i="3"/>
  <c r="N31" i="3" s="1"/>
  <c r="M5" i="3"/>
  <c r="M28" i="3" s="1"/>
  <c r="L5" i="3"/>
  <c r="K5" i="3"/>
  <c r="K31" i="3" s="1"/>
  <c r="J5" i="3"/>
  <c r="J31" i="3" s="1"/>
  <c r="B5" i="3"/>
  <c r="B31" i="3" s="1"/>
  <c r="L4" i="3"/>
  <c r="K4" i="3"/>
  <c r="J4" i="3"/>
  <c r="T3" i="3"/>
  <c r="S3" i="3"/>
  <c r="R3" i="3"/>
  <c r="Q3" i="3"/>
  <c r="P3" i="3"/>
  <c r="O3" i="3"/>
  <c r="N3" i="3"/>
  <c r="M3" i="3"/>
  <c r="L3" i="3"/>
  <c r="K3" i="3"/>
  <c r="J3" i="3"/>
  <c r="B3" i="3"/>
  <c r="T2" i="3"/>
  <c r="S2" i="3"/>
  <c r="R2" i="3"/>
  <c r="Q2" i="3"/>
  <c r="P2" i="3"/>
  <c r="O2" i="3"/>
  <c r="N2" i="3"/>
  <c r="M2" i="3"/>
  <c r="L2" i="3"/>
  <c r="K2" i="3"/>
  <c r="J2" i="3"/>
  <c r="B2" i="3"/>
  <c r="F1" i="3"/>
  <c r="M150" i="2"/>
  <c r="L150" i="2"/>
  <c r="K150" i="2"/>
  <c r="J150" i="2"/>
  <c r="I150" i="2"/>
  <c r="H150" i="2"/>
  <c r="G150" i="2"/>
  <c r="F150" i="2"/>
  <c r="E150" i="2"/>
  <c r="D150" i="2"/>
  <c r="C150" i="2"/>
  <c r="B150" i="2"/>
  <c r="M147" i="2"/>
  <c r="L147" i="2"/>
  <c r="K147" i="2"/>
  <c r="J147" i="2"/>
  <c r="I147" i="2"/>
  <c r="H147" i="2"/>
  <c r="G147" i="2"/>
  <c r="F147" i="2"/>
  <c r="E147" i="2"/>
  <c r="D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N144" i="2"/>
  <c r="M143" i="2"/>
  <c r="L143" i="2"/>
  <c r="K143" i="2"/>
  <c r="J143" i="2"/>
  <c r="I143" i="2"/>
  <c r="H143" i="2"/>
  <c r="G143" i="2"/>
  <c r="F143" i="2"/>
  <c r="N143" i="2" s="1"/>
  <c r="E143" i="2"/>
  <c r="D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N140" i="2"/>
  <c r="M139" i="2"/>
  <c r="L139" i="2"/>
  <c r="K139" i="2"/>
  <c r="J139" i="2"/>
  <c r="I139" i="2"/>
  <c r="H139" i="2"/>
  <c r="G139" i="2"/>
  <c r="F139" i="2"/>
  <c r="E139" i="2"/>
  <c r="D139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H135" i="2"/>
  <c r="G135" i="2"/>
  <c r="F135" i="2"/>
  <c r="E135" i="2"/>
  <c r="D135" i="2"/>
  <c r="C135" i="2"/>
  <c r="B135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N130" i="2"/>
  <c r="N129" i="2"/>
  <c r="N128" i="2"/>
  <c r="N127" i="2"/>
  <c r="N126" i="2"/>
  <c r="N125" i="2"/>
  <c r="N124" i="2"/>
  <c r="N131" i="2" s="1"/>
  <c r="M118" i="2"/>
  <c r="L118" i="2"/>
  <c r="K118" i="2"/>
  <c r="J118" i="2"/>
  <c r="I118" i="2"/>
  <c r="H118" i="2"/>
  <c r="G118" i="2"/>
  <c r="F118" i="2"/>
  <c r="E118" i="2"/>
  <c r="D118" i="2"/>
  <c r="C118" i="2"/>
  <c r="B118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N115" i="2" s="1"/>
  <c r="M114" i="2"/>
  <c r="L114" i="2"/>
  <c r="K114" i="2"/>
  <c r="J114" i="2"/>
  <c r="I114" i="2"/>
  <c r="H114" i="2"/>
  <c r="G114" i="2"/>
  <c r="F114" i="2"/>
  <c r="E114" i="2"/>
  <c r="D114" i="2"/>
  <c r="C114" i="2"/>
  <c r="B114" i="2"/>
  <c r="N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N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H103" i="2"/>
  <c r="G103" i="2"/>
  <c r="F103" i="2"/>
  <c r="E103" i="2"/>
  <c r="D103" i="2"/>
  <c r="C103" i="2"/>
  <c r="B103" i="2"/>
  <c r="M99" i="2"/>
  <c r="M103" i="2" s="1"/>
  <c r="L99" i="2"/>
  <c r="K99" i="2"/>
  <c r="J99" i="2"/>
  <c r="I99" i="2"/>
  <c r="H99" i="2"/>
  <c r="G99" i="2"/>
  <c r="F99" i="2"/>
  <c r="E99" i="2"/>
  <c r="D99" i="2"/>
  <c r="C99" i="2"/>
  <c r="B99" i="2"/>
  <c r="N98" i="2"/>
  <c r="N97" i="2"/>
  <c r="N96" i="2"/>
  <c r="N95" i="2"/>
  <c r="N94" i="2"/>
  <c r="N93" i="2"/>
  <c r="N92" i="2"/>
  <c r="F87" i="2"/>
  <c r="N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N82" i="2"/>
  <c r="M81" i="2"/>
  <c r="L81" i="2"/>
  <c r="L87" i="2" s="1"/>
  <c r="K81" i="2"/>
  <c r="J81" i="2"/>
  <c r="J87" i="2" s="1"/>
  <c r="I81" i="2"/>
  <c r="I87" i="2" s="1"/>
  <c r="H81" i="2"/>
  <c r="G81" i="2"/>
  <c r="G87" i="2" s="1"/>
  <c r="F81" i="2"/>
  <c r="E81" i="2"/>
  <c r="D81" i="2"/>
  <c r="D87" i="2" s="1"/>
  <c r="C81" i="2"/>
  <c r="B81" i="2"/>
  <c r="B87" i="2" s="1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2" i="2"/>
  <c r="L72" i="2"/>
  <c r="K72" i="2"/>
  <c r="J72" i="2"/>
  <c r="I72" i="2"/>
  <c r="H72" i="2"/>
  <c r="G72" i="2"/>
  <c r="F72" i="2"/>
  <c r="E72" i="2"/>
  <c r="D72" i="2"/>
  <c r="C72" i="2"/>
  <c r="B72" i="2"/>
  <c r="N70" i="2"/>
  <c r="N69" i="2"/>
  <c r="N68" i="2"/>
  <c r="N67" i="2"/>
  <c r="N66" i="2"/>
  <c r="N65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N54" i="2"/>
  <c r="M53" i="2"/>
  <c r="M59" i="2" s="1"/>
  <c r="L53" i="2"/>
  <c r="L59" i="2" s="1"/>
  <c r="K53" i="2"/>
  <c r="J53" i="2"/>
  <c r="J59" i="2" s="1"/>
  <c r="I53" i="2"/>
  <c r="H53" i="2"/>
  <c r="H59" i="2" s="1"/>
  <c r="G53" i="2"/>
  <c r="G59" i="2" s="1"/>
  <c r="F53" i="2"/>
  <c r="E53" i="2"/>
  <c r="E59" i="2" s="1"/>
  <c r="D53" i="2"/>
  <c r="D59" i="2" s="1"/>
  <c r="C53" i="2"/>
  <c r="B53" i="2"/>
  <c r="B59" i="2" s="1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N51" i="2" s="1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N49" i="2" s="1"/>
  <c r="M45" i="2"/>
  <c r="L45" i="2"/>
  <c r="K45" i="2"/>
  <c r="J45" i="2"/>
  <c r="I45" i="2"/>
  <c r="H45" i="2"/>
  <c r="G45" i="2"/>
  <c r="F45" i="2"/>
  <c r="E45" i="2"/>
  <c r="D45" i="2"/>
  <c r="C45" i="2"/>
  <c r="B45" i="2"/>
  <c r="N43" i="2"/>
  <c r="N42" i="2"/>
  <c r="N41" i="2"/>
  <c r="N40" i="2"/>
  <c r="N39" i="2"/>
  <c r="N38" i="2"/>
  <c r="M33" i="2"/>
  <c r="L33" i="2"/>
  <c r="K33" i="2"/>
  <c r="J33" i="2"/>
  <c r="I33" i="2"/>
  <c r="H33" i="2"/>
  <c r="G33" i="2"/>
  <c r="F33" i="2"/>
  <c r="E33" i="2"/>
  <c r="D33" i="2"/>
  <c r="C32" i="2"/>
  <c r="N32" i="2" s="1"/>
  <c r="B32" i="2"/>
  <c r="N31" i="2"/>
  <c r="N33" i="2" s="1"/>
  <c r="M30" i="2"/>
  <c r="L30" i="2"/>
  <c r="K30" i="2"/>
  <c r="J30" i="2"/>
  <c r="I30" i="2"/>
  <c r="H30" i="2"/>
  <c r="G30" i="2"/>
  <c r="F30" i="2"/>
  <c r="E30" i="2"/>
  <c r="D30" i="2"/>
  <c r="C30" i="2"/>
  <c r="B30" i="2"/>
  <c r="N28" i="2"/>
  <c r="N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B25" i="2"/>
  <c r="M24" i="2"/>
  <c r="L24" i="2"/>
  <c r="K24" i="2"/>
  <c r="J24" i="2"/>
  <c r="I24" i="2"/>
  <c r="H24" i="2"/>
  <c r="G24" i="2"/>
  <c r="F24" i="2"/>
  <c r="E24" i="2"/>
  <c r="D24" i="2"/>
  <c r="M23" i="2"/>
  <c r="I23" i="2"/>
  <c r="F23" i="2"/>
  <c r="M19" i="2"/>
  <c r="L19" i="2"/>
  <c r="L23" i="2" s="1"/>
  <c r="K19" i="2"/>
  <c r="K23" i="2" s="1"/>
  <c r="J19" i="2"/>
  <c r="J23" i="2" s="1"/>
  <c r="I19" i="2"/>
  <c r="H19" i="2"/>
  <c r="H23" i="2" s="1"/>
  <c r="G19" i="2"/>
  <c r="G23" i="2" s="1"/>
  <c r="F19" i="2"/>
  <c r="E19" i="2"/>
  <c r="E23" i="2" s="1"/>
  <c r="D19" i="2"/>
  <c r="D23" i="2" s="1"/>
  <c r="N18" i="2"/>
  <c r="N17" i="2"/>
  <c r="N16" i="2"/>
  <c r="N15" i="2"/>
  <c r="N14" i="2"/>
  <c r="N13" i="2"/>
  <c r="T131" i="3" l="1"/>
  <c r="T134" i="3" s="1"/>
  <c r="I81" i="3"/>
  <c r="M15" i="3"/>
  <c r="Q81" i="3"/>
  <c r="O15" i="3"/>
  <c r="I15" i="3"/>
  <c r="Q15" i="3"/>
  <c r="N15" i="3"/>
  <c r="R15" i="3"/>
  <c r="K15" i="3"/>
  <c r="S15" i="3"/>
  <c r="J15" i="3"/>
  <c r="L15" i="3"/>
  <c r="P15" i="3"/>
  <c r="T11" i="3"/>
  <c r="H15" i="3"/>
  <c r="B71" i="3"/>
  <c r="H84" i="3"/>
  <c r="L84" i="3"/>
  <c r="P4" i="3"/>
  <c r="S84" i="3"/>
  <c r="U121" i="3"/>
  <c r="B4" i="3"/>
  <c r="N18" i="3"/>
  <c r="J14" i="3"/>
  <c r="N80" i="3"/>
  <c r="H48" i="3"/>
  <c r="X92" i="3"/>
  <c r="M58" i="3"/>
  <c r="S16" i="3"/>
  <c r="K79" i="3"/>
  <c r="O4" i="3"/>
  <c r="B38" i="3"/>
  <c r="U48" i="3"/>
  <c r="C59" i="3"/>
  <c r="O80" i="3"/>
  <c r="I83" i="3"/>
  <c r="Q83" i="3"/>
  <c r="K81" i="3"/>
  <c r="M121" i="3"/>
  <c r="B120" i="3"/>
  <c r="I58" i="3"/>
  <c r="K95" i="3"/>
  <c r="S79" i="3"/>
  <c r="Q50" i="3"/>
  <c r="N81" i="3"/>
  <c r="B116" i="3"/>
  <c r="P16" i="3"/>
  <c r="P51" i="3"/>
  <c r="S52" i="3"/>
  <c r="M50" i="3"/>
  <c r="X57" i="3"/>
  <c r="S117" i="3"/>
  <c r="H116" i="3"/>
  <c r="P116" i="3"/>
  <c r="H51" i="3"/>
  <c r="S95" i="3"/>
  <c r="T41" i="3"/>
  <c r="N47" i="3"/>
  <c r="S51" i="3"/>
  <c r="N79" i="3"/>
  <c r="H91" i="3"/>
  <c r="Q95" i="3"/>
  <c r="B122" i="3"/>
  <c r="L117" i="3"/>
  <c r="O120" i="3"/>
  <c r="O65" i="3"/>
  <c r="O13" i="3"/>
  <c r="K14" i="3"/>
  <c r="S14" i="3"/>
  <c r="N13" i="3"/>
  <c r="R47" i="3"/>
  <c r="R48" i="3"/>
  <c r="O46" i="3"/>
  <c r="B74" i="3"/>
  <c r="O79" i="3"/>
  <c r="J95" i="3"/>
  <c r="M118" i="3"/>
  <c r="R121" i="3"/>
  <c r="X128" i="3"/>
  <c r="O122" i="3"/>
  <c r="I121" i="3"/>
  <c r="Q121" i="3"/>
  <c r="U122" i="3"/>
  <c r="Q7" i="3"/>
  <c r="J24" i="3"/>
  <c r="R95" i="3"/>
  <c r="P83" i="3"/>
  <c r="C92" i="3"/>
  <c r="H122" i="3"/>
  <c r="P122" i="3"/>
  <c r="J121" i="3"/>
  <c r="K120" i="3"/>
  <c r="S120" i="3"/>
  <c r="J134" i="3"/>
  <c r="Q31" i="3"/>
  <c r="L62" i="3"/>
  <c r="S13" i="3"/>
  <c r="U14" i="3"/>
  <c r="L46" i="3"/>
  <c r="U37" i="3"/>
  <c r="B46" i="3"/>
  <c r="H46" i="3"/>
  <c r="P46" i="3"/>
  <c r="N64" i="3"/>
  <c r="T85" i="3"/>
  <c r="Q80" i="3"/>
  <c r="B79" i="3"/>
  <c r="S85" i="3"/>
  <c r="J79" i="3"/>
  <c r="R79" i="3"/>
  <c r="M95" i="3"/>
  <c r="J122" i="3"/>
  <c r="R122" i="3"/>
  <c r="U113" i="3"/>
  <c r="L118" i="3"/>
  <c r="T52" i="3"/>
  <c r="Q12" i="3"/>
  <c r="R16" i="3"/>
  <c r="T65" i="3"/>
  <c r="T4" i="3"/>
  <c r="N48" i="3"/>
  <c r="T46" i="3"/>
  <c r="O81" i="3"/>
  <c r="O83" i="3"/>
  <c r="K84" i="3"/>
  <c r="K122" i="3"/>
  <c r="S122" i="3"/>
  <c r="I116" i="3"/>
  <c r="Q116" i="3"/>
  <c r="N120" i="3"/>
  <c r="J128" i="3"/>
  <c r="L52" i="3"/>
  <c r="T38" i="3"/>
  <c r="K13" i="3"/>
  <c r="S81" i="3"/>
  <c r="K85" i="3"/>
  <c r="K118" i="3"/>
  <c r="S118" i="3"/>
  <c r="R14" i="3"/>
  <c r="I14" i="3"/>
  <c r="Q14" i="3"/>
  <c r="C22" i="3"/>
  <c r="R23" i="3"/>
  <c r="O52" i="3"/>
  <c r="H81" i="3"/>
  <c r="T84" i="3"/>
  <c r="B108" i="3"/>
  <c r="N122" i="3"/>
  <c r="C125" i="3"/>
  <c r="O128" i="3"/>
  <c r="I132" i="3"/>
  <c r="T91" i="3"/>
  <c r="X91" i="3" s="1"/>
  <c r="J135" i="3"/>
  <c r="C59" i="2"/>
  <c r="K59" i="2"/>
  <c r="N57" i="2"/>
  <c r="E87" i="2"/>
  <c r="M87" i="2"/>
  <c r="N146" i="2"/>
  <c r="I12" i="3"/>
  <c r="N14" i="3"/>
  <c r="T16" i="3"/>
  <c r="O28" i="3"/>
  <c r="U36" i="3"/>
  <c r="U38" i="3" s="1"/>
  <c r="I47" i="3"/>
  <c r="J47" i="3"/>
  <c r="M48" i="3"/>
  <c r="K52" i="3"/>
  <c r="L58" i="3"/>
  <c r="T59" i="3"/>
  <c r="W39" i="3" s="1"/>
  <c r="U70" i="3"/>
  <c r="O84" i="3"/>
  <c r="U87" i="3"/>
  <c r="N95" i="3"/>
  <c r="R98" i="3"/>
  <c r="N128" i="3"/>
  <c r="C129" i="3"/>
  <c r="K135" i="3"/>
  <c r="N24" i="2"/>
  <c r="O23" i="2" s="1"/>
  <c r="N80" i="2"/>
  <c r="O18" i="3"/>
  <c r="R28" i="3"/>
  <c r="B41" i="3"/>
  <c r="M47" i="3"/>
  <c r="P48" i="3"/>
  <c r="L51" i="3"/>
  <c r="N57" i="3"/>
  <c r="P62" i="3"/>
  <c r="U69" i="3"/>
  <c r="P84" i="3"/>
  <c r="L122" i="3"/>
  <c r="T122" i="3"/>
  <c r="U130" i="3"/>
  <c r="H132" i="3"/>
  <c r="O135" i="3"/>
  <c r="S24" i="3"/>
  <c r="J28" i="3"/>
  <c r="N78" i="2"/>
  <c r="O77" i="2" s="1"/>
  <c r="N99" i="2"/>
  <c r="N104" i="2"/>
  <c r="O103" i="2" s="1"/>
  <c r="N142" i="2"/>
  <c r="N84" i="2"/>
  <c r="N110" i="2"/>
  <c r="N136" i="2"/>
  <c r="N138" i="2"/>
  <c r="L13" i="3"/>
  <c r="P17" i="3"/>
  <c r="M12" i="3"/>
  <c r="Q23" i="3"/>
  <c r="I48" i="3"/>
  <c r="O51" i="3"/>
  <c r="U56" i="3"/>
  <c r="Q57" i="3"/>
  <c r="P58" i="3"/>
  <c r="S62" i="3"/>
  <c r="O95" i="3"/>
  <c r="X90" i="3"/>
  <c r="N118" i="3"/>
  <c r="C126" i="3"/>
  <c r="U129" i="3"/>
  <c r="R135" i="3"/>
  <c r="H52" i="3"/>
  <c r="N23" i="2"/>
  <c r="N103" i="2"/>
  <c r="N106" i="2"/>
  <c r="N19" i="2"/>
  <c r="N30" i="2"/>
  <c r="N50" i="2"/>
  <c r="O49" i="2" s="1"/>
  <c r="N52" i="2"/>
  <c r="F59" i="2"/>
  <c r="H87" i="2"/>
  <c r="N114" i="2"/>
  <c r="N118" i="2"/>
  <c r="N12" i="3"/>
  <c r="B16" i="3"/>
  <c r="J13" i="3"/>
  <c r="R13" i="3"/>
  <c r="S41" i="3"/>
  <c r="O47" i="3"/>
  <c r="P52" i="3"/>
  <c r="T64" i="3"/>
  <c r="T62" i="3"/>
  <c r="U76" i="3"/>
  <c r="J81" i="3"/>
  <c r="R81" i="3"/>
  <c r="B98" i="3"/>
  <c r="B110" i="3"/>
  <c r="H118" i="3"/>
  <c r="P118" i="3"/>
  <c r="U118" i="3"/>
  <c r="M122" i="3"/>
  <c r="T127" i="3"/>
  <c r="X127" i="3" s="1"/>
  <c r="Q132" i="3"/>
  <c r="S135" i="3"/>
  <c r="N72" i="2"/>
  <c r="Q4" i="3"/>
  <c r="R17" i="3"/>
  <c r="J18" i="3"/>
  <c r="I50" i="3"/>
  <c r="T58" i="3"/>
  <c r="X58" i="3" s="1"/>
  <c r="H65" i="3"/>
  <c r="B95" i="3"/>
  <c r="H117" i="3"/>
  <c r="N56" i="2"/>
  <c r="N58" i="2"/>
  <c r="N77" i="2"/>
  <c r="N105" i="2"/>
  <c r="N147" i="2"/>
  <c r="L91" i="3"/>
  <c r="U124" i="3"/>
  <c r="B128" i="3"/>
  <c r="B135" i="3"/>
  <c r="N25" i="2"/>
  <c r="N26" i="2"/>
  <c r="N45" i="2"/>
  <c r="N79" i="2"/>
  <c r="N81" i="2"/>
  <c r="N107" i="2"/>
  <c r="N135" i="2"/>
  <c r="R7" i="3"/>
  <c r="R12" i="3"/>
  <c r="I59" i="2"/>
  <c r="C87" i="2"/>
  <c r="K87" i="2"/>
  <c r="N85" i="2"/>
  <c r="N111" i="2"/>
  <c r="N137" i="2"/>
  <c r="N139" i="2"/>
  <c r="N150" i="2"/>
  <c r="S4" i="3"/>
  <c r="H13" i="3"/>
  <c r="P13" i="3"/>
  <c r="L14" i="3"/>
  <c r="U17" i="3"/>
  <c r="B14" i="3"/>
  <c r="U18" i="3"/>
  <c r="M14" i="3"/>
  <c r="Q16" i="3"/>
  <c r="Q47" i="3"/>
  <c r="Q48" i="3"/>
  <c r="U54" i="3"/>
  <c r="H58" i="3"/>
  <c r="K62" i="3"/>
  <c r="M81" i="3"/>
  <c r="U81" i="3"/>
  <c r="L85" i="3"/>
  <c r="L83" i="3"/>
  <c r="T79" i="3"/>
  <c r="P91" i="3"/>
  <c r="L18" i="3"/>
  <c r="L28" i="3"/>
  <c r="T9" i="3"/>
  <c r="T13" i="3" s="1"/>
  <c r="S17" i="3"/>
  <c r="N51" i="3"/>
  <c r="N46" i="3"/>
  <c r="B58" i="3"/>
  <c r="C56" i="3"/>
  <c r="U89" i="3"/>
  <c r="M90" i="3"/>
  <c r="Q91" i="3"/>
  <c r="B7" i="3"/>
  <c r="M13" i="3"/>
  <c r="O14" i="3"/>
  <c r="C21" i="3"/>
  <c r="C25" i="3"/>
  <c r="B28" i="3"/>
  <c r="T31" i="3"/>
  <c r="M62" i="3"/>
  <c r="M52" i="3"/>
  <c r="Q65" i="3"/>
  <c r="Q62" i="3"/>
  <c r="Q52" i="3"/>
  <c r="Q41" i="3"/>
  <c r="K48" i="3"/>
  <c r="K50" i="3"/>
  <c r="O48" i="3"/>
  <c r="O50" i="3"/>
  <c r="C55" i="3"/>
  <c r="U51" i="3"/>
  <c r="B50" i="3"/>
  <c r="H98" i="3"/>
  <c r="U72" i="3"/>
  <c r="H85" i="3"/>
  <c r="P98" i="3"/>
  <c r="P85" i="3"/>
  <c r="J80" i="3"/>
  <c r="P80" i="3"/>
  <c r="P79" i="3"/>
  <c r="I79" i="3"/>
  <c r="I84" i="3"/>
  <c r="U88" i="3"/>
  <c r="R90" i="3"/>
  <c r="R4" i="3"/>
  <c r="J7" i="3"/>
  <c r="S7" i="3"/>
  <c r="B12" i="3"/>
  <c r="K12" i="3"/>
  <c r="O12" i="3"/>
  <c r="S12" i="3"/>
  <c r="H14" i="3"/>
  <c r="P14" i="3"/>
  <c r="Q17" i="3"/>
  <c r="B18" i="3"/>
  <c r="K18" i="3"/>
  <c r="Q18" i="3"/>
  <c r="P23" i="3"/>
  <c r="P24" i="3"/>
  <c r="T23" i="3"/>
  <c r="T24" i="3"/>
  <c r="K28" i="3"/>
  <c r="M31" i="3"/>
  <c r="J65" i="3"/>
  <c r="J62" i="3"/>
  <c r="J52" i="3"/>
  <c r="N65" i="3"/>
  <c r="N62" i="3"/>
  <c r="N52" i="3"/>
  <c r="R65" i="3"/>
  <c r="R62" i="3"/>
  <c r="R52" i="3"/>
  <c r="R41" i="3"/>
  <c r="U43" i="3"/>
  <c r="K47" i="3"/>
  <c r="H50" i="3"/>
  <c r="U53" i="3"/>
  <c r="H47" i="3"/>
  <c r="L50" i="3"/>
  <c r="L47" i="3"/>
  <c r="P50" i="3"/>
  <c r="P47" i="3"/>
  <c r="T50" i="3"/>
  <c r="T47" i="3"/>
  <c r="J57" i="3"/>
  <c r="R57" i="3"/>
  <c r="I117" i="3"/>
  <c r="I118" i="3"/>
  <c r="M117" i="3"/>
  <c r="M116" i="3"/>
  <c r="Q117" i="3"/>
  <c r="Q118" i="3"/>
  <c r="U123" i="3"/>
  <c r="O118" i="3"/>
  <c r="O117" i="3"/>
  <c r="H121" i="3"/>
  <c r="U125" i="3"/>
  <c r="H120" i="3"/>
  <c r="L121" i="3"/>
  <c r="L120" i="3"/>
  <c r="L116" i="3"/>
  <c r="P121" i="3"/>
  <c r="P120" i="3"/>
  <c r="T121" i="3"/>
  <c r="T116" i="3"/>
  <c r="T132" i="3"/>
  <c r="P18" i="3"/>
  <c r="P28" i="3"/>
  <c r="B24" i="3"/>
  <c r="T28" i="3"/>
  <c r="J51" i="3"/>
  <c r="J46" i="3"/>
  <c r="R51" i="3"/>
  <c r="R46" i="3"/>
  <c r="P134" i="3"/>
  <c r="P132" i="3"/>
  <c r="L132" i="3"/>
  <c r="B6" i="3"/>
  <c r="I13" i="3"/>
  <c r="Q13" i="3"/>
  <c r="L31" i="3"/>
  <c r="I62" i="3"/>
  <c r="I52" i="3"/>
  <c r="U39" i="3"/>
  <c r="N50" i="3"/>
  <c r="S48" i="3"/>
  <c r="S50" i="3"/>
  <c r="T98" i="3"/>
  <c r="H80" i="3"/>
  <c r="U86" i="3"/>
  <c r="H79" i="3"/>
  <c r="H83" i="3"/>
  <c r="L80" i="3"/>
  <c r="L79" i="3"/>
  <c r="L81" i="3"/>
  <c r="M79" i="3"/>
  <c r="M84" i="3"/>
  <c r="M83" i="3"/>
  <c r="Q79" i="3"/>
  <c r="Q84" i="3"/>
  <c r="N91" i="3"/>
  <c r="N90" i="3"/>
  <c r="I91" i="3"/>
  <c r="U107" i="3"/>
  <c r="S31" i="3"/>
  <c r="S18" i="3"/>
  <c r="P7" i="3"/>
  <c r="T7" i="3"/>
  <c r="L12" i="3"/>
  <c r="P12" i="3"/>
  <c r="T12" i="3"/>
  <c r="B17" i="3"/>
  <c r="M18" i="3"/>
  <c r="R18" i="3"/>
  <c r="B23" i="3"/>
  <c r="N28" i="3"/>
  <c r="P31" i="3"/>
  <c r="K46" i="3"/>
  <c r="S46" i="3"/>
  <c r="S47" i="3"/>
  <c r="J50" i="3"/>
  <c r="R50" i="3"/>
  <c r="I51" i="3"/>
  <c r="I46" i="3"/>
  <c r="M51" i="3"/>
  <c r="M46" i="3"/>
  <c r="Q51" i="3"/>
  <c r="Q46" i="3"/>
  <c r="U55" i="3"/>
  <c r="B57" i="3"/>
  <c r="M65" i="3"/>
  <c r="P81" i="3"/>
  <c r="J90" i="3"/>
  <c r="I97" i="3"/>
  <c r="I95" i="3"/>
  <c r="Q97" i="3"/>
  <c r="J117" i="3"/>
  <c r="J116" i="3"/>
  <c r="J118" i="3"/>
  <c r="J120" i="3"/>
  <c r="N117" i="3"/>
  <c r="N116" i="3"/>
  <c r="R117" i="3"/>
  <c r="R116" i="3"/>
  <c r="R118" i="3"/>
  <c r="R120" i="3"/>
  <c r="I120" i="3"/>
  <c r="M120" i="3"/>
  <c r="Q120" i="3"/>
  <c r="K132" i="3"/>
  <c r="K134" i="3"/>
  <c r="O132" i="3"/>
  <c r="O134" i="3"/>
  <c r="S132" i="3"/>
  <c r="S134" i="3"/>
  <c r="B40" i="3"/>
  <c r="U52" i="3"/>
  <c r="K57" i="3"/>
  <c r="O57" i="3"/>
  <c r="S57" i="3"/>
  <c r="J85" i="3"/>
  <c r="N85" i="3"/>
  <c r="R85" i="3"/>
  <c r="O85" i="3"/>
  <c r="J84" i="3"/>
  <c r="J83" i="3"/>
  <c r="N84" i="3"/>
  <c r="N83" i="3"/>
  <c r="R84" i="3"/>
  <c r="R83" i="3"/>
  <c r="B91" i="3"/>
  <c r="C89" i="3"/>
  <c r="U92" i="3"/>
  <c r="U93" i="3"/>
  <c r="U109" i="3"/>
  <c r="I122" i="3"/>
  <c r="Q122" i="3"/>
  <c r="K127" i="3"/>
  <c r="X129" i="3"/>
  <c r="M132" i="3"/>
  <c r="B52" i="3"/>
  <c r="B62" i="3"/>
  <c r="B85" i="3"/>
  <c r="B73" i="3"/>
  <c r="U85" i="3"/>
  <c r="K83" i="3"/>
  <c r="K80" i="3"/>
  <c r="S83" i="3"/>
  <c r="S80" i="3"/>
  <c r="B83" i="3"/>
  <c r="C88" i="3"/>
  <c r="U84" i="3"/>
  <c r="H97" i="3"/>
  <c r="H95" i="3"/>
  <c r="L97" i="3"/>
  <c r="L95" i="3"/>
  <c r="P97" i="3"/>
  <c r="P95" i="3"/>
  <c r="T94" i="3"/>
  <c r="K98" i="3"/>
  <c r="S98" i="3"/>
  <c r="U106" i="3"/>
  <c r="K116" i="3"/>
  <c r="K121" i="3"/>
  <c r="O116" i="3"/>
  <c r="O121" i="3"/>
  <c r="S116" i="3"/>
  <c r="S121" i="3"/>
  <c r="H128" i="3"/>
  <c r="U126" i="3"/>
  <c r="L127" i="3"/>
  <c r="J132" i="3"/>
  <c r="N132" i="3"/>
  <c r="R132" i="3"/>
  <c r="I85" i="3"/>
  <c r="M85" i="3"/>
  <c r="Q85" i="3"/>
  <c r="K90" i="3"/>
  <c r="O90" i="3"/>
  <c r="S90" i="3"/>
  <c r="I127" i="3"/>
  <c r="M127" i="3"/>
  <c r="B132" i="3"/>
  <c r="H135" i="3"/>
  <c r="L135" i="3"/>
  <c r="P135" i="3"/>
  <c r="T135" i="3"/>
  <c r="B111" i="3"/>
  <c r="N87" i="2"/>
  <c r="N53" i="2"/>
  <c r="N59" i="2" s="1"/>
  <c r="T118" i="3" l="1"/>
  <c r="X59" i="3"/>
  <c r="T81" i="3"/>
  <c r="U71" i="3"/>
  <c r="T80" i="3"/>
  <c r="U108" i="3"/>
  <c r="T97" i="3"/>
  <c r="T95" i="3"/>
  <c r="T1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Gerie ten Cate</author>
  </authors>
  <commentList>
    <comment ref="U10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Gerie ten Cate: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221 dagen</t>
        </r>
      </text>
    </comment>
    <comment ref="K3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Gerie ten Cate: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inclusief 100.00 zinacademie</t>
        </r>
      </text>
    </comment>
    <comment ref="U4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221 dagen</t>
        </r>
      </text>
    </comment>
    <comment ref="K7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inclusief 100.00 zinacademie</t>
        </r>
      </text>
    </comment>
    <comment ref="U77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Gerie ten Cate: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221 dagen</t>
        </r>
      </text>
    </comment>
    <comment ref="K10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inclusief 100.00 zinacademie</t>
        </r>
      </text>
    </comment>
    <comment ref="U11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221 dagen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Gerie ten Cate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365 - 104 (weekend) en 6 weken vakantie</t>
        </r>
      </text>
    </comment>
    <comment ref="B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tot 15 jan in lockdown</t>
        </r>
      </text>
    </comment>
    <comment ref="F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op basis van laatste 3 wk, ivm meivakantie</t>
        </r>
      </text>
    </comment>
    <comment ref="H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op basis van eerste 3 wk, ivm vakantie</t>
        </r>
      </text>
    </comment>
    <comment ref="I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op basis van laatste wk, ivm vakantie</t>
        </r>
      </text>
    </comment>
    <comment ref="M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op basis van eerste 3 wk, ivm kerstvakantie</t>
        </r>
      </text>
    </comment>
    <comment ref="B3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tot 15 jan in lockdown</t>
        </r>
      </text>
    </comment>
    <comment ref="B6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tot 15 jan in lockdown</t>
        </r>
      </text>
    </comment>
    <comment ref="B9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tot 15 jan in lockdown</t>
        </r>
      </text>
    </comment>
    <comment ref="B12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Gerie ten Cate:</t>
        </r>
        <r>
          <rPr>
            <sz val="9"/>
            <color indexed="81"/>
            <rFont val="Tahoma"/>
            <family val="2"/>
          </rPr>
          <t xml:space="preserve">
tot 15 jan in lockdown</t>
        </r>
      </text>
    </comment>
  </commentList>
</comments>
</file>

<file path=xl/sharedStrings.xml><?xml version="1.0" encoding="utf-8"?>
<sst xmlns="http://schemas.openxmlformats.org/spreadsheetml/2006/main" count="482" uniqueCount="85">
  <si>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</si>
  <si>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</si>
  <si>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</si>
  <si>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</si>
  <si>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</si>
  <si>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</si>
  <si>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</si>
  <si>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</si>
  <si>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</si>
  <si>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</si>
  <si>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</si>
  <si>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</si>
  <si>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Totaal aantal personen</t>
  </si>
  <si>
    <t>Gem aantal personen per reservering</t>
  </si>
  <si>
    <t>Totale omzet</t>
  </si>
  <si>
    <t>Gem reserverings waarde</t>
  </si>
  <si>
    <t>Prijs p.p.</t>
  </si>
  <si>
    <t>Totaal aantal kamers</t>
  </si>
  <si>
    <t>Totaal aantal kamers op basis van 221 dagen</t>
  </si>
  <si>
    <t>Omzet per bezette kamer</t>
  </si>
  <si>
    <t>Bezetting %</t>
  </si>
  <si>
    <t>Bezetting % op basis van 221 dagen</t>
  </si>
  <si>
    <t>Gemiddelde kamerprijs</t>
  </si>
  <si>
    <t>RevPar</t>
  </si>
  <si>
    <t>TrevPar</t>
  </si>
  <si>
    <t>Roomnights</t>
  </si>
  <si>
    <t>Aantal overnachtings gasten</t>
  </si>
  <si>
    <t>Logiesomzet</t>
  </si>
  <si>
    <t>F&amp;B omzet</t>
  </si>
  <si>
    <t>Keuken 56,7%</t>
  </si>
  <si>
    <t>Beverage 43,3%</t>
  </si>
  <si>
    <t>Zaalhuur</t>
  </si>
  <si>
    <t>Overig</t>
  </si>
  <si>
    <t>Personeelskosten</t>
  </si>
  <si>
    <t>% personeelskosten tov omzet</t>
  </si>
  <si>
    <t xml:space="preserve">Personeel in fte </t>
  </si>
  <si>
    <t>Personeelskosten per fte</t>
  </si>
  <si>
    <t>Omzet per fte</t>
  </si>
  <si>
    <t>gemeten op 22/02</t>
  </si>
  <si>
    <t>gemeten op 24/11</t>
  </si>
  <si>
    <t>Totaal</t>
  </si>
  <si>
    <t>gebaseerd op 221 dagen</t>
  </si>
  <si>
    <t>Totaal aantal reserveringen 2022</t>
  </si>
  <si>
    <t>Totaal aantal reserveringen 2023</t>
  </si>
  <si>
    <t>Keuken 67%</t>
  </si>
  <si>
    <t>Beverage 33%</t>
  </si>
  <si>
    <t>juni</t>
  </si>
  <si>
    <t>juli</t>
  </si>
  <si>
    <t>Totaal aantal reserveringen 2024</t>
  </si>
  <si>
    <t>Omzet zinacademie</t>
  </si>
  <si>
    <t xml:space="preserve">projectleider </t>
  </si>
  <si>
    <t>Trainers</t>
  </si>
  <si>
    <t>resultaat</t>
  </si>
  <si>
    <t>Totaal aantal reserveringen 2025</t>
  </si>
  <si>
    <t>Vergaderzalen</t>
  </si>
  <si>
    <t>Auditorium</t>
  </si>
  <si>
    <t>1 wk</t>
  </si>
  <si>
    <t>2 wk</t>
  </si>
  <si>
    <t>Tuinkamer</t>
  </si>
  <si>
    <t>Bovenkamer</t>
  </si>
  <si>
    <t>Kapelkamer</t>
  </si>
  <si>
    <t>Atelier</t>
  </si>
  <si>
    <t>1 maand</t>
  </si>
  <si>
    <t>Zonder de weekenden</t>
  </si>
  <si>
    <t>Alleen ochtend en middag</t>
  </si>
  <si>
    <t>---</t>
  </si>
  <si>
    <t>Heilig Hart kamer</t>
  </si>
  <si>
    <t>gemiddeld</t>
  </si>
  <si>
    <t>Omzet Zaalhuur</t>
  </si>
  <si>
    <t>Kamerbezetting</t>
  </si>
  <si>
    <t>Omzet Kamers</t>
  </si>
  <si>
    <t>Frontoffice €</t>
  </si>
  <si>
    <t>Frontoffice fte</t>
  </si>
  <si>
    <t>Omzet F&amp;B</t>
  </si>
  <si>
    <t>Bediening en Keuken in €</t>
  </si>
  <si>
    <t>Bediening en Keuken in fte</t>
  </si>
  <si>
    <t>Totaal Peroneel F&amp;B en FO</t>
  </si>
  <si>
    <t>Mediatheek</t>
  </si>
  <si>
    <t>m2</t>
  </si>
  <si>
    <t>Algemeen en Marketing</t>
  </si>
  <si>
    <t>Totale oveige personeelskosten</t>
  </si>
  <si>
    <t>totale personeelskosten</t>
  </si>
  <si>
    <t>Alle personeelskosten</t>
  </si>
  <si>
    <t>Bezetting % op basis van 185 dagen</t>
  </si>
  <si>
    <t>Totaal aantal kamers op basis van 185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</si>
</sst>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.00_ ;_ &quot;€&quot;\ * \-#,##0.00_ ;_ &quot;€&quot;\ * &quot;-&quot;??_ ;_ @_ "/>
    <numFmt numFmtId="165" formatCode="_ &quot;€&quot;\ * #,##0_ ;_ &quot;€&quot;\ * \-#,##0_ ;_ &quot;€&quot;\ * &quot;-&quot;??_ ;_ @_ "/>
    <numFmt numFmtId="166" formatCode="0.0%"/>
    <numFmt numFmtId="167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3152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/>
    <xf numFmtId="0" fontId="0" fillId="2" borderId="0" xfId="0" applyFill="1"/>
    <xf numFmtId="1" fontId="0" fillId="2" borderId="0" xfId="0" applyNumberFormat="1" applyFill="1"/>
    <xf numFmtId="1" fontId="0" fillId="2" borderId="0" xfId="0" applyNumberForma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9" fontId="9" fillId="0" borderId="1" xfId="2" quotePrefix="1" applyFont="1" applyFill="1" applyBorder="1" applyAlignment="1">
      <alignment horizontal="center"/>
    </xf>
    <xf numFmtId="9" fontId="9" fillId="0" borderId="1" xfId="2" applyFont="1" applyBorder="1" applyAlignment="1">
      <alignment horizontal="center"/>
    </xf>
    <xf numFmtId="9" fontId="9" fillId="0" borderId="2" xfId="2" quotePrefix="1" applyFont="1" applyFill="1" applyBorder="1" applyAlignment="1">
      <alignment horizontal="center"/>
    </xf>
    <xf numFmtId="9" fontId="10" fillId="4" borderId="1" xfId="2" applyFont="1" applyFill="1" applyBorder="1" applyAlignment="1">
      <alignment horizontal="center"/>
    </xf>
    <xf numFmtId="9" fontId="10" fillId="4" borderId="0" xfId="2" applyFont="1" applyFill="1" applyBorder="1" applyAlignment="1">
      <alignment horizontal="center"/>
    </xf>
    <xf numFmtId="9" fontId="9" fillId="0" borderId="3" xfId="2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9" fontId="11" fillId="0" borderId="1" xfId="2" applyFont="1" applyBorder="1" applyAlignment="1">
      <alignment horizontal="center" vertical="center"/>
    </xf>
    <xf numFmtId="9" fontId="12" fillId="4" borderId="1" xfId="2" applyFont="1" applyFill="1" applyBorder="1" applyAlignment="1">
      <alignment horizontal="center"/>
    </xf>
    <xf numFmtId="9" fontId="12" fillId="4" borderId="0" xfId="2" applyFont="1" applyFill="1" applyBorder="1" applyAlignment="1">
      <alignment horizontal="center"/>
    </xf>
    <xf numFmtId="0" fontId="4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/>
    <xf numFmtId="9" fontId="13" fillId="0" borderId="1" xfId="2" applyFont="1" applyBorder="1" applyAlignment="1">
      <alignment horizontal="right"/>
    </xf>
    <xf numFmtId="9" fontId="14" fillId="2" borderId="1" xfId="2" applyFont="1" applyFill="1" applyBorder="1" applyAlignment="1">
      <alignment horizontal="right"/>
    </xf>
    <xf numFmtId="165" fontId="0" fillId="0" borderId="0" xfId="0" applyNumberFormat="1"/>
    <xf numFmtId="165" fontId="0" fillId="2" borderId="1" xfId="1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9" fontId="0" fillId="0" borderId="1" xfId="2" applyFont="1" applyBorder="1" applyAlignment="1">
      <alignment horizontal="right"/>
    </xf>
    <xf numFmtId="9" fontId="0" fillId="2" borderId="1" xfId="0" applyNumberFormat="1" applyFill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15" fillId="5" borderId="1" xfId="0" applyFont="1" applyFill="1" applyBorder="1"/>
    <xf numFmtId="165" fontId="16" fillId="2" borderId="1" xfId="1" applyNumberFormat="1" applyFont="1" applyFill="1" applyBorder="1" applyAlignment="1">
      <alignment horizontal="right"/>
    </xf>
    <xf numFmtId="2" fontId="16" fillId="2" borderId="1" xfId="1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17" fillId="0" borderId="0" xfId="0" applyFont="1" applyAlignment="1">
      <alignment vertical="center"/>
    </xf>
    <xf numFmtId="0" fontId="2" fillId="5" borderId="2" xfId="0" applyFont="1" applyFill="1" applyBorder="1"/>
    <xf numFmtId="165" fontId="0" fillId="2" borderId="3" xfId="0" applyNumberFormat="1" applyFill="1" applyBorder="1" applyAlignment="1">
      <alignment horizontal="right"/>
    </xf>
    <xf numFmtId="0" fontId="15" fillId="5" borderId="2" xfId="0" applyFont="1" applyFill="1" applyBorder="1"/>
    <xf numFmtId="165" fontId="16" fillId="0" borderId="1" xfId="1" applyNumberFormat="1" applyFont="1" applyBorder="1" applyAlignment="1">
      <alignment horizontal="right"/>
    </xf>
    <xf numFmtId="1" fontId="16" fillId="2" borderId="1" xfId="1" applyNumberFormat="1" applyFont="1" applyFill="1" applyBorder="1" applyAlignment="1">
      <alignment horizontal="right"/>
    </xf>
    <xf numFmtId="0" fontId="15" fillId="5" borderId="0" xfId="0" applyFont="1" applyFill="1"/>
    <xf numFmtId="1" fontId="16" fillId="2" borderId="0" xfId="1" applyNumberFormat="1" applyFont="1" applyFill="1" applyBorder="1" applyAlignment="1">
      <alignment horizontal="right"/>
    </xf>
    <xf numFmtId="9" fontId="13" fillId="0" borderId="2" xfId="2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9" fontId="0" fillId="0" borderId="2" xfId="2" applyFont="1" applyBorder="1" applyAlignment="1">
      <alignment horizontal="right"/>
    </xf>
    <xf numFmtId="9" fontId="3" fillId="2" borderId="1" xfId="0" applyNumberFormat="1" applyFont="1" applyFill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2" fontId="16" fillId="2" borderId="2" xfId="1" applyNumberFormat="1" applyFont="1" applyFill="1" applyBorder="1" applyAlignment="1">
      <alignment horizontal="right"/>
    </xf>
    <xf numFmtId="165" fontId="18" fillId="2" borderId="1" xfId="1" applyNumberFormat="1" applyFont="1" applyFill="1" applyBorder="1" applyAlignment="1">
      <alignment horizontal="right"/>
    </xf>
    <xf numFmtId="165" fontId="16" fillId="2" borderId="0" xfId="1" applyNumberFormat="1" applyFont="1" applyFill="1" applyBorder="1" applyAlignment="1">
      <alignment horizontal="right"/>
    </xf>
    <xf numFmtId="165" fontId="18" fillId="2" borderId="0" xfId="1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9" fontId="9" fillId="0" borderId="3" xfId="2" quotePrefix="1" applyFont="1" applyFill="1" applyBorder="1" applyAlignment="1">
      <alignment horizontal="center"/>
    </xf>
    <xf numFmtId="1" fontId="9" fillId="0" borderId="8" xfId="2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9" fontId="13" fillId="0" borderId="3" xfId="2" applyFont="1" applyBorder="1" applyAlignment="1">
      <alignment horizontal="right"/>
    </xf>
    <xf numFmtId="165" fontId="0" fillId="2" borderId="3" xfId="1" applyNumberFormat="1" applyFont="1" applyFill="1" applyBorder="1" applyAlignment="1">
      <alignment horizontal="right"/>
    </xf>
    <xf numFmtId="165" fontId="0" fillId="2" borderId="2" xfId="1" applyNumberFormat="1" applyFont="1" applyFill="1" applyBorder="1" applyAlignment="1">
      <alignment horizontal="right"/>
    </xf>
    <xf numFmtId="9" fontId="0" fillId="0" borderId="3" xfId="2" applyFont="1" applyBorder="1" applyAlignment="1">
      <alignment horizontal="right"/>
    </xf>
    <xf numFmtId="165" fontId="0" fillId="0" borderId="3" xfId="1" applyNumberFormat="1" applyFont="1" applyBorder="1" applyAlignment="1">
      <alignment horizontal="right"/>
    </xf>
    <xf numFmtId="165" fontId="16" fillId="2" borderId="3" xfId="1" applyNumberFormat="1" applyFont="1" applyFill="1" applyBorder="1" applyAlignment="1">
      <alignment horizontal="right"/>
    </xf>
    <xf numFmtId="2" fontId="16" fillId="2" borderId="3" xfId="1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9" fontId="19" fillId="0" borderId="1" xfId="2" quotePrefix="1" applyFont="1" applyFill="1" applyBorder="1" applyAlignment="1">
      <alignment horizontal="center"/>
    </xf>
    <xf numFmtId="0" fontId="20" fillId="0" borderId="0" xfId="0" quotePrefix="1" applyFont="1" applyAlignment="1">
      <alignment horizontal="center"/>
    </xf>
    <xf numFmtId="9" fontId="21" fillId="0" borderId="2" xfId="2" quotePrefix="1" applyFont="1" applyFill="1" applyBorder="1" applyAlignment="1">
      <alignment horizontal="center"/>
    </xf>
    <xf numFmtId="0" fontId="15" fillId="2" borderId="0" xfId="0" applyFont="1" applyFill="1"/>
    <xf numFmtId="0" fontId="0" fillId="0" borderId="1" xfId="0" applyBorder="1"/>
    <xf numFmtId="0" fontId="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165" fontId="27" fillId="0" borderId="0" xfId="1" applyNumberFormat="1" applyFont="1"/>
    <xf numFmtId="0" fontId="24" fillId="0" borderId="0" xfId="0" applyFont="1" applyAlignment="1">
      <alignment horizontal="right" wrapText="1"/>
    </xf>
    <xf numFmtId="0" fontId="24" fillId="6" borderId="0" xfId="0" applyFont="1" applyFill="1" applyAlignment="1">
      <alignment horizontal="right" wrapText="1"/>
    </xf>
    <xf numFmtId="0" fontId="24" fillId="2" borderId="0" xfId="0" applyFont="1" applyFill="1" applyAlignment="1">
      <alignment horizontal="right" wrapText="1"/>
    </xf>
    <xf numFmtId="0" fontId="24" fillId="4" borderId="0" xfId="0" applyFont="1" applyFill="1" applyAlignment="1">
      <alignment horizontal="right" wrapText="1"/>
    </xf>
    <xf numFmtId="1" fontId="27" fillId="0" borderId="0" xfId="0" applyNumberFormat="1" applyFont="1"/>
    <xf numFmtId="1" fontId="28" fillId="0" borderId="0" xfId="0" applyNumberFormat="1" applyFont="1"/>
    <xf numFmtId="165" fontId="25" fillId="0" borderId="0" xfId="0" applyNumberFormat="1" applyFont="1" applyAlignment="1">
      <alignment horizontal="right" wrapText="1"/>
    </xf>
    <xf numFmtId="165" fontId="29" fillId="0" borderId="0" xfId="0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9" fontId="27" fillId="0" borderId="0" xfId="2" applyFont="1"/>
    <xf numFmtId="166" fontId="0" fillId="0" borderId="0" xfId="2" applyNumberFormat="1" applyFont="1"/>
    <xf numFmtId="166" fontId="24" fillId="0" borderId="0" xfId="2" applyNumberFormat="1" applyFont="1" applyAlignment="1">
      <alignment horizontal="right" wrapText="1"/>
    </xf>
    <xf numFmtId="166" fontId="24" fillId="6" borderId="0" xfId="2" applyNumberFormat="1" applyFont="1" applyFill="1" applyAlignment="1">
      <alignment horizontal="right" wrapText="1"/>
    </xf>
    <xf numFmtId="166" fontId="24" fillId="2" borderId="0" xfId="2" applyNumberFormat="1" applyFont="1" applyFill="1" applyAlignment="1">
      <alignment horizontal="right" wrapText="1"/>
    </xf>
    <xf numFmtId="9" fontId="28" fillId="0" borderId="0" xfId="2" applyFont="1"/>
    <xf numFmtId="164" fontId="25" fillId="0" borderId="0" xfId="1" applyFont="1" applyAlignment="1">
      <alignment horizontal="right" wrapText="1"/>
    </xf>
    <xf numFmtId="164" fontId="27" fillId="0" borderId="0" xfId="1" applyFont="1"/>
    <xf numFmtId="165" fontId="28" fillId="0" borderId="0" xfId="1" applyNumberFormat="1" applyFont="1"/>
    <xf numFmtId="164" fontId="0" fillId="0" borderId="0" xfId="0" applyNumberFormat="1"/>
    <xf numFmtId="165" fontId="29" fillId="0" borderId="0" xfId="1" applyNumberFormat="1" applyFont="1" applyAlignment="1">
      <alignment horizontal="right" wrapText="1"/>
    </xf>
    <xf numFmtId="0" fontId="0" fillId="2" borderId="0" xfId="0" applyFill="1" applyAlignment="1">
      <alignment horizontal="right"/>
    </xf>
    <xf numFmtId="165" fontId="24" fillId="2" borderId="0" xfId="0" applyNumberFormat="1" applyFont="1" applyFill="1" applyAlignment="1">
      <alignment horizontal="right" wrapText="1"/>
    </xf>
    <xf numFmtId="0" fontId="29" fillId="0" borderId="0" xfId="0" applyFont="1" applyAlignment="1">
      <alignment horizontal="center" wrapText="1"/>
    </xf>
    <xf numFmtId="9" fontId="0" fillId="0" borderId="0" xfId="2" applyFont="1"/>
    <xf numFmtId="2" fontId="24" fillId="0" borderId="0" xfId="0" applyNumberFormat="1" applyFont="1" applyAlignment="1">
      <alignment horizontal="right" wrapText="1"/>
    </xf>
    <xf numFmtId="2" fontId="24" fillId="6" borderId="0" xfId="0" applyNumberFormat="1" applyFont="1" applyFill="1" applyAlignment="1">
      <alignment horizontal="right" wrapText="1"/>
    </xf>
    <xf numFmtId="2" fontId="24" fillId="2" borderId="0" xfId="0" applyNumberFormat="1" applyFont="1" applyFill="1" applyAlignment="1">
      <alignment horizontal="right" wrapText="1"/>
    </xf>
    <xf numFmtId="167" fontId="27" fillId="0" borderId="0" xfId="0" applyNumberFormat="1" applyFont="1"/>
    <xf numFmtId="2" fontId="27" fillId="0" borderId="0" xfId="0" applyNumberFormat="1" applyFont="1"/>
    <xf numFmtId="2" fontId="28" fillId="0" borderId="0" xfId="0" applyNumberFormat="1" applyFont="1"/>
    <xf numFmtId="165" fontId="24" fillId="0" borderId="0" xfId="1" applyNumberFormat="1" applyFont="1" applyAlignment="1">
      <alignment horizontal="right" wrapText="1"/>
    </xf>
    <xf numFmtId="165" fontId="24" fillId="6" borderId="0" xfId="1" applyNumberFormat="1" applyFont="1" applyFill="1" applyAlignment="1">
      <alignment horizontal="right" wrapText="1"/>
    </xf>
    <xf numFmtId="165" fontId="24" fillId="2" borderId="0" xfId="1" applyNumberFormat="1" applyFont="1" applyFill="1" applyAlignment="1">
      <alignment horizontal="right" wrapText="1"/>
    </xf>
    <xf numFmtId="165" fontId="25" fillId="0" borderId="0" xfId="1" applyNumberFormat="1" applyFont="1"/>
    <xf numFmtId="9" fontId="0" fillId="0" borderId="0" xfId="0" applyNumberFormat="1"/>
    <xf numFmtId="164" fontId="24" fillId="0" borderId="0" xfId="1" applyFont="1" applyAlignment="1">
      <alignment horizontal="right" wrapText="1"/>
    </xf>
    <xf numFmtId="164" fontId="24" fillId="6" borderId="0" xfId="1" applyFont="1" applyFill="1" applyAlignment="1">
      <alignment horizontal="right" wrapText="1"/>
    </xf>
    <xf numFmtId="164" fontId="24" fillId="2" borderId="0" xfId="1" applyFont="1" applyFill="1" applyAlignment="1">
      <alignment horizontal="right" wrapText="1"/>
    </xf>
    <xf numFmtId="165" fontId="25" fillId="0" borderId="0" xfId="1" applyNumberFormat="1" applyFont="1" applyAlignment="1">
      <alignment horizontal="right" wrapText="1"/>
    </xf>
    <xf numFmtId="164" fontId="28" fillId="0" borderId="0" xfId="1" applyFont="1"/>
    <xf numFmtId="165" fontId="27" fillId="0" borderId="0" xfId="0" applyNumberFormat="1" applyFont="1"/>
    <xf numFmtId="0" fontId="30" fillId="0" borderId="0" xfId="0" applyFont="1"/>
    <xf numFmtId="0" fontId="28" fillId="0" borderId="0" xfId="0" applyFont="1"/>
    <xf numFmtId="165" fontId="24" fillId="0" borderId="0" xfId="0" applyNumberFormat="1" applyFont="1" applyAlignment="1">
      <alignment horizontal="right" wrapText="1"/>
    </xf>
    <xf numFmtId="165" fontId="24" fillId="6" borderId="0" xfId="0" applyNumberFormat="1" applyFont="1" applyFill="1" applyAlignment="1">
      <alignment horizontal="right" wrapText="1"/>
    </xf>
    <xf numFmtId="9" fontId="27" fillId="0" borderId="0" xfId="2" applyFont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5" fontId="31" fillId="0" borderId="0" xfId="1" applyNumberFormat="1" applyFont="1"/>
    <xf numFmtId="165" fontId="32" fillId="0" borderId="0" xfId="1" applyNumberFormat="1" applyFont="1" applyAlignment="1">
      <alignment horizontal="right" wrapText="1"/>
    </xf>
    <xf numFmtId="1" fontId="31" fillId="0" borderId="0" xfId="0" applyNumberFormat="1" applyFont="1"/>
    <xf numFmtId="10" fontId="24" fillId="0" borderId="0" xfId="2" applyNumberFormat="1" applyFont="1" applyAlignment="1">
      <alignment horizontal="right" wrapText="1"/>
    </xf>
    <xf numFmtId="0" fontId="16" fillId="0" borderId="0" xfId="0" applyFont="1" applyAlignment="1">
      <alignment horizontal="right"/>
    </xf>
    <xf numFmtId="165" fontId="27" fillId="2" borderId="0" xfId="1" applyNumberFormat="1" applyFont="1" applyFill="1"/>
    <xf numFmtId="166" fontId="29" fillId="0" borderId="0" xfId="2" applyNumberFormat="1" applyFont="1" applyAlignment="1">
      <alignment horizontal="right" wrapText="1"/>
    </xf>
    <xf numFmtId="2" fontId="24" fillId="0" borderId="0" xfId="1" applyNumberFormat="1" applyFont="1" applyAlignment="1">
      <alignment horizontal="right" wrapText="1"/>
    </xf>
    <xf numFmtId="2" fontId="24" fillId="6" borderId="0" xfId="1" applyNumberFormat="1" applyFont="1" applyFill="1" applyAlignment="1">
      <alignment horizontal="right" wrapText="1"/>
    </xf>
    <xf numFmtId="2" fontId="24" fillId="2" borderId="0" xfId="1" applyNumberFormat="1" applyFont="1" applyFill="1" applyAlignment="1">
      <alignment horizontal="right" wrapText="1"/>
    </xf>
    <xf numFmtId="0" fontId="0" fillId="0" borderId="0" xfId="0" applyAlignment="1">
      <alignment horizontal="right"/>
    </xf>
    <xf numFmtId="165" fontId="33" fillId="2" borderId="1" xfId="1" applyNumberFormat="1" applyFont="1" applyFill="1" applyBorder="1"/>
    <xf numFmtId="1" fontId="27" fillId="2" borderId="0" xfId="0" applyNumberFormat="1" applyFont="1" applyFill="1"/>
    <xf numFmtId="1" fontId="28" fillId="2" borderId="0" xfId="0" applyNumberFormat="1" applyFont="1" applyFill="1"/>
    <xf numFmtId="0" fontId="27" fillId="2" borderId="0" xfId="0" applyFont="1" applyFill="1"/>
    <xf numFmtId="2" fontId="27" fillId="2" borderId="0" xfId="0" applyNumberFormat="1" applyFont="1" applyFill="1"/>
    <xf numFmtId="2" fontId="28" fillId="2" borderId="0" xfId="0" applyNumberFormat="1" applyFont="1" applyFill="1"/>
    <xf numFmtId="165" fontId="28" fillId="2" borderId="0" xfId="1" applyNumberFormat="1" applyFont="1" applyFill="1"/>
    <xf numFmtId="165" fontId="27" fillId="0" borderId="0" xfId="1" applyNumberFormat="1" applyFont="1" applyAlignment="1">
      <alignment horizontal="right" wrapText="1"/>
    </xf>
    <xf numFmtId="165" fontId="27" fillId="2" borderId="0" xfId="1" applyNumberFormat="1" applyFont="1" applyFill="1" applyAlignment="1">
      <alignment horizontal="right" wrapText="1"/>
    </xf>
    <xf numFmtId="164" fontId="28" fillId="2" borderId="0" xfId="1" applyFont="1" applyFill="1"/>
    <xf numFmtId="0" fontId="30" fillId="2" borderId="0" xfId="0" applyFont="1" applyFill="1"/>
    <xf numFmtId="167" fontId="27" fillId="2" borderId="0" xfId="0" applyNumberFormat="1" applyFont="1" applyFill="1"/>
    <xf numFmtId="0" fontId="28" fillId="2" borderId="0" xfId="0" applyFont="1" applyFill="1"/>
    <xf numFmtId="165" fontId="25" fillId="2" borderId="0" xfId="0" applyNumberFormat="1" applyFont="1" applyFill="1" applyAlignment="1">
      <alignment horizontal="right" wrapText="1"/>
    </xf>
    <xf numFmtId="165" fontId="0" fillId="2" borderId="0" xfId="0" applyNumberFormat="1" applyFill="1"/>
    <xf numFmtId="9" fontId="27" fillId="2" borderId="0" xfId="2" applyFont="1" applyFill="1"/>
    <xf numFmtId="166" fontId="0" fillId="2" borderId="0" xfId="2" applyNumberFormat="1" applyFont="1" applyFill="1"/>
    <xf numFmtId="165" fontId="25" fillId="2" borderId="0" xfId="1" applyNumberFormat="1" applyFont="1" applyFill="1" applyAlignment="1">
      <alignment horizontal="right" wrapText="1"/>
    </xf>
    <xf numFmtId="164" fontId="0" fillId="2" borderId="0" xfId="0" applyNumberFormat="1" applyFill="1"/>
    <xf numFmtId="1" fontId="31" fillId="2" borderId="0" xfId="0" applyNumberFormat="1" applyFont="1" applyFill="1"/>
    <xf numFmtId="165" fontId="31" fillId="2" borderId="0" xfId="1" applyNumberFormat="1" applyFont="1" applyFill="1"/>
    <xf numFmtId="4" fontId="0" fillId="0" borderId="0" xfId="0" applyNumberFormat="1"/>
    <xf numFmtId="166" fontId="25" fillId="2" borderId="0" xfId="2" applyNumberFormat="1" applyFont="1" applyFill="1" applyAlignment="1">
      <alignment horizontal="right" wrapText="1"/>
    </xf>
    <xf numFmtId="166" fontId="29" fillId="2" borderId="0" xfId="2" applyNumberFormat="1" applyFont="1" applyFill="1" applyAlignment="1">
      <alignment horizontal="right" wrapText="1"/>
    </xf>
    <xf numFmtId="1" fontId="27" fillId="0" borderId="0" xfId="0" applyNumberFormat="1" applyFont="1" applyAlignment="1">
      <alignment horizontal="center"/>
    </xf>
    <xf numFmtId="3" fontId="27" fillId="0" borderId="0" xfId="0" applyNumberFormat="1" applyFont="1"/>
    <xf numFmtId="165" fontId="25" fillId="7" borderId="0" xfId="0" applyNumberFormat="1" applyFont="1" applyFill="1" applyAlignment="1">
      <alignment horizontal="right" wrapText="1"/>
    </xf>
    <xf numFmtId="165" fontId="25" fillId="7" borderId="0" xfId="1" applyNumberFormat="1" applyFont="1" applyFill="1" applyAlignment="1">
      <alignment horizontal="right" wrapText="1"/>
    </xf>
    <xf numFmtId="9" fontId="27" fillId="7" borderId="0" xfId="2" applyFont="1" applyFill="1"/>
    <xf numFmtId="165" fontId="27" fillId="7" borderId="0" xfId="1" applyNumberFormat="1" applyFont="1" applyFill="1"/>
    <xf numFmtId="166" fontId="25" fillId="7" borderId="0" xfId="2" applyNumberFormat="1" applyFont="1" applyFill="1" applyAlignment="1">
      <alignment horizontal="right" wrapText="1"/>
    </xf>
    <xf numFmtId="0" fontId="26" fillId="8" borderId="0" xfId="0" applyFont="1" applyFill="1"/>
    <xf numFmtId="0" fontId="24" fillId="8" borderId="0" xfId="0" applyFont="1" applyFill="1" applyAlignment="1">
      <alignment horizontal="right" wrapText="1"/>
    </xf>
    <xf numFmtId="1" fontId="27" fillId="8" borderId="0" xfId="0" applyNumberFormat="1" applyFont="1" applyFill="1"/>
    <xf numFmtId="1" fontId="28" fillId="8" borderId="0" xfId="0" applyNumberFormat="1" applyFont="1" applyFill="1"/>
    <xf numFmtId="0" fontId="0" fillId="8" borderId="0" xfId="0" applyFill="1"/>
    <xf numFmtId="9" fontId="0" fillId="8" borderId="0" xfId="2" applyFont="1" applyFill="1"/>
    <xf numFmtId="9" fontId="0" fillId="8" borderId="0" xfId="0" applyNumberFormat="1" applyFill="1"/>
    <xf numFmtId="166" fontId="24" fillId="8" borderId="0" xfId="2" applyNumberFormat="1" applyFont="1" applyFill="1" applyAlignment="1">
      <alignment horizontal="right" wrapText="1"/>
    </xf>
    <xf numFmtId="9" fontId="27" fillId="8" borderId="0" xfId="2" applyFont="1" applyFill="1"/>
    <xf numFmtId="9" fontId="28" fillId="8" borderId="0" xfId="2" applyFont="1" applyFill="1"/>
    <xf numFmtId="166" fontId="0" fillId="8" borderId="0" xfId="2" applyNumberFormat="1" applyFont="1" applyFill="1"/>
    <xf numFmtId="0" fontId="2" fillId="5" borderId="8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IRECTIE/Financi&#235;n/Begrotingen%20en%20realisaties/V1%202024%20Totaal%20overzicht%20kengetallen%202022%20en%202023%20e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getallen"/>
      <sheetName val="nov 24"/>
      <sheetName val="okt 24"/>
      <sheetName val="Lonen 2022"/>
      <sheetName val="Lonen 2023"/>
      <sheetName val="Lonen 2024"/>
      <sheetName val="Lonen 2025"/>
      <sheetName val="dec 24"/>
      <sheetName val="jan 25"/>
      <sheetName val="febr 25"/>
      <sheetName val="Zalen"/>
      <sheetName val="Grafiek"/>
      <sheetName val="Blad3"/>
      <sheetName val="Totaal 22"/>
      <sheetName val="Totaal 23"/>
      <sheetName val="Totaal 24"/>
      <sheetName val="Totaal 21"/>
      <sheetName val="jan 24"/>
      <sheetName val="jan 22"/>
      <sheetName val="feb 22"/>
      <sheetName val="mrt 22"/>
      <sheetName val="april 22"/>
      <sheetName val="mei 22"/>
      <sheetName val="juni 22"/>
      <sheetName val="juli 22"/>
      <sheetName val="aug 22"/>
      <sheetName val="sept 22"/>
      <sheetName val="okt 22"/>
      <sheetName val="nov 22"/>
      <sheetName val="dec 22"/>
      <sheetName val="jan 23"/>
      <sheetName val="feb 23"/>
      <sheetName val="feb 24"/>
      <sheetName val="mrt 24"/>
      <sheetName val="apr 24"/>
      <sheetName val="mei 24"/>
      <sheetName val="juni 24"/>
      <sheetName val="juli 24"/>
      <sheetName val="mrt 23"/>
      <sheetName val="apr 23"/>
      <sheetName val="mei 23"/>
      <sheetName val="juni 23"/>
      <sheetName val="juli 23"/>
      <sheetName val="aug 23"/>
      <sheetName val="Sept 23"/>
      <sheetName val="okt 23"/>
      <sheetName val="aug 24"/>
      <sheetName val="sep 24"/>
      <sheetName val="nov 23"/>
      <sheetName val="dec 23"/>
    </sheetNames>
    <sheetDataSet>
      <sheetData sheetId="0">
        <row r="13">
          <cell r="J13">
            <v>0.21450959905968395</v>
          </cell>
          <cell r="K13">
            <v>0.27671270937524806</v>
          </cell>
          <cell r="L13">
            <v>0.33928969263034975</v>
          </cell>
          <cell r="M13">
            <v>0.60558069381598789</v>
          </cell>
          <cell r="N13">
            <v>0.22292174019927938</v>
          </cell>
          <cell r="O13">
            <v>0.18226305802456805</v>
          </cell>
          <cell r="P13">
            <v>0.70699372866555521</v>
          </cell>
          <cell r="Q13">
            <v>0.72624818505174038</v>
          </cell>
          <cell r="R13">
            <v>0.53169405413987458</v>
          </cell>
          <cell r="S13">
            <v>0.33368159853728613</v>
          </cell>
        </row>
        <row r="19">
          <cell r="J19">
            <v>5933</v>
          </cell>
          <cell r="K19">
            <v>11713</v>
          </cell>
          <cell r="L19">
            <v>14094</v>
          </cell>
          <cell r="M19">
            <v>24877</v>
          </cell>
          <cell r="N19">
            <v>4115</v>
          </cell>
          <cell r="O19">
            <v>2445</v>
          </cell>
          <cell r="P19">
            <v>27872</v>
          </cell>
          <cell r="Q19">
            <v>32376</v>
          </cell>
          <cell r="R19">
            <v>28666</v>
          </cell>
          <cell r="S19">
            <v>17352</v>
          </cell>
        </row>
        <row r="20">
          <cell r="J20">
            <v>26689</v>
          </cell>
          <cell r="K20">
            <v>43633</v>
          </cell>
          <cell r="L20">
            <v>41081</v>
          </cell>
          <cell r="M20">
            <v>83557</v>
          </cell>
          <cell r="N20">
            <v>32648</v>
          </cell>
          <cell r="O20">
            <v>11676</v>
          </cell>
          <cell r="P20">
            <v>93113</v>
          </cell>
          <cell r="Q20">
            <v>92466</v>
          </cell>
          <cell r="R20">
            <v>96473</v>
          </cell>
          <cell r="S20">
            <v>44313</v>
          </cell>
        </row>
        <row r="22">
          <cell r="H22">
            <v>0</v>
          </cell>
        </row>
        <row r="23">
          <cell r="J23">
            <v>7334</v>
          </cell>
          <cell r="K23">
            <v>14612</v>
          </cell>
          <cell r="L23">
            <v>14392</v>
          </cell>
          <cell r="M23">
            <v>37146</v>
          </cell>
          <cell r="N23">
            <v>15866</v>
          </cell>
          <cell r="O23">
            <v>6814</v>
          </cell>
          <cell r="P23">
            <v>42466</v>
          </cell>
          <cell r="Q23">
            <v>32497</v>
          </cell>
          <cell r="R23">
            <v>37518</v>
          </cell>
          <cell r="S23">
            <v>13641</v>
          </cell>
        </row>
        <row r="43">
          <cell r="H43">
            <v>0.19067519916416351</v>
          </cell>
          <cell r="I43">
            <v>0.53086619263089851</v>
          </cell>
          <cell r="J43">
            <v>0.71783604391214495</v>
          </cell>
          <cell r="K43">
            <v>0.47229499087084226</v>
          </cell>
          <cell r="L43">
            <v>0.38135039832832701</v>
          </cell>
          <cell r="M43">
            <v>0.64324839247439858</v>
          </cell>
          <cell r="N43">
            <v>0.18506710507109986</v>
          </cell>
          <cell r="O43">
            <v>0.50893453894552465</v>
          </cell>
          <cell r="P43">
            <v>0.49692387076288003</v>
          </cell>
          <cell r="Q43">
            <v>0.65754903241171092</v>
          </cell>
          <cell r="R43">
            <v>0.86925458442486303</v>
          </cell>
          <cell r="S43">
            <v>0.33928969263034975</v>
          </cell>
        </row>
        <row r="49">
          <cell r="H49">
            <v>10419</v>
          </cell>
          <cell r="I49">
            <v>21500</v>
          </cell>
          <cell r="J49">
            <v>29256.19</v>
          </cell>
          <cell r="K49">
            <v>23756</v>
          </cell>
          <cell r="L49">
            <v>20441</v>
          </cell>
          <cell r="M49">
            <v>27863</v>
          </cell>
          <cell r="N49">
            <v>8984</v>
          </cell>
          <cell r="O49">
            <v>21952</v>
          </cell>
          <cell r="P49">
            <v>22338.3</v>
          </cell>
          <cell r="Q49">
            <v>28116.52</v>
          </cell>
          <cell r="R49">
            <v>37149.08</v>
          </cell>
          <cell r="S49">
            <v>15068.81</v>
          </cell>
        </row>
        <row r="50">
          <cell r="H50">
            <v>37954</v>
          </cell>
          <cell r="I50">
            <v>63088</v>
          </cell>
          <cell r="J50">
            <v>88413.46</v>
          </cell>
          <cell r="K50">
            <v>73649</v>
          </cell>
          <cell r="L50">
            <v>59656</v>
          </cell>
          <cell r="M50">
            <v>95005</v>
          </cell>
          <cell r="N50">
            <v>45260</v>
          </cell>
          <cell r="O50">
            <v>45992</v>
          </cell>
          <cell r="P50">
            <v>88124.76</v>
          </cell>
          <cell r="Q50">
            <v>80704.350000000006</v>
          </cell>
          <cell r="R50">
            <v>114042.54</v>
          </cell>
          <cell r="S50">
            <v>55028.47</v>
          </cell>
        </row>
        <row r="53">
          <cell r="H53">
            <v>20171</v>
          </cell>
          <cell r="I53">
            <v>25464</v>
          </cell>
          <cell r="J53">
            <v>32538.22</v>
          </cell>
          <cell r="K53">
            <v>38277.9</v>
          </cell>
          <cell r="L53">
            <v>37193.67</v>
          </cell>
          <cell r="M53">
            <v>43505</v>
          </cell>
          <cell r="N53">
            <v>24822</v>
          </cell>
          <cell r="O53">
            <v>-15285</v>
          </cell>
          <cell r="P53">
            <v>40362.58</v>
          </cell>
          <cell r="Q53">
            <v>35794.51</v>
          </cell>
          <cell r="R53">
            <v>55848.959999999999</v>
          </cell>
          <cell r="S53">
            <v>25389.88</v>
          </cell>
        </row>
        <row r="75">
          <cell r="H75">
            <v>0.29582696340910658</v>
          </cell>
          <cell r="I75">
            <v>0.63797077535467639</v>
          </cell>
          <cell r="J75">
            <v>0.53295932678821878</v>
          </cell>
          <cell r="K75">
            <v>0.37391304347826088</v>
          </cell>
          <cell r="L75">
            <v>0.41654978962131839</v>
          </cell>
          <cell r="M75">
            <v>0.67826086956521736</v>
          </cell>
          <cell r="N75">
            <v>0.67297129116763588</v>
          </cell>
          <cell r="O75">
            <v>0.50893453894552465</v>
          </cell>
          <cell r="P75">
            <v>0.63455584663014997</v>
          </cell>
          <cell r="Q75">
            <v>0.79354531416850393</v>
          </cell>
          <cell r="R75">
            <v>0.85911328093990624</v>
          </cell>
          <cell r="S75">
            <v>0.34209373967688156</v>
          </cell>
        </row>
        <row r="81">
          <cell r="H81">
            <v>13707.8</v>
          </cell>
          <cell r="I81">
            <v>28231.47</v>
          </cell>
          <cell r="J81">
            <v>25881.93</v>
          </cell>
          <cell r="K81">
            <v>53070.45</v>
          </cell>
          <cell r="L81">
            <v>27889.75</v>
          </cell>
          <cell r="M81">
            <v>34643.75</v>
          </cell>
          <cell r="N81">
            <v>27790.83</v>
          </cell>
          <cell r="O81">
            <v>20812.84</v>
          </cell>
          <cell r="P81">
            <v>32966.65</v>
          </cell>
          <cell r="Q81">
            <v>54747.86</v>
          </cell>
          <cell r="R81">
            <v>47781.42</v>
          </cell>
          <cell r="S81">
            <v>17259.63</v>
          </cell>
        </row>
        <row r="82">
          <cell r="H82">
            <v>43518.52</v>
          </cell>
          <cell r="I82">
            <v>52732.4</v>
          </cell>
          <cell r="J82">
            <v>78862.44</v>
          </cell>
          <cell r="K82">
            <v>76785.600000000006</v>
          </cell>
          <cell r="L82">
            <v>53632.35</v>
          </cell>
          <cell r="M82">
            <v>91322.41</v>
          </cell>
          <cell r="N82">
            <v>59091.199999999997</v>
          </cell>
          <cell r="O82">
            <v>48083.11</v>
          </cell>
          <cell r="P82">
            <v>85642.41</v>
          </cell>
          <cell r="Q82">
            <v>114591.12</v>
          </cell>
          <cell r="R82">
            <v>107403.68</v>
          </cell>
          <cell r="S82">
            <v>43115.15</v>
          </cell>
        </row>
        <row r="85">
          <cell r="H85">
            <v>31089.94</v>
          </cell>
          <cell r="I85">
            <v>21379.360000000001</v>
          </cell>
          <cell r="J85">
            <v>52905.32</v>
          </cell>
          <cell r="K85">
            <v>50794.59</v>
          </cell>
          <cell r="L85">
            <v>48554.9</v>
          </cell>
          <cell r="M85">
            <v>68816.95</v>
          </cell>
          <cell r="N85">
            <v>9974</v>
          </cell>
          <cell r="O85">
            <v>13256.57</v>
          </cell>
          <cell r="P85">
            <v>45785.69</v>
          </cell>
          <cell r="Q85">
            <v>58329.31</v>
          </cell>
        </row>
        <row r="98">
          <cell r="H98">
            <v>92473.76</v>
          </cell>
          <cell r="I98">
            <v>147786.56</v>
          </cell>
          <cell r="J98">
            <v>141675.93</v>
          </cell>
          <cell r="K98">
            <v>154732.44</v>
          </cell>
          <cell r="L98">
            <v>125337.4</v>
          </cell>
          <cell r="M98">
            <v>158482.07999999999</v>
          </cell>
          <cell r="N98">
            <v>36632.65</v>
          </cell>
          <cell r="O98">
            <v>40612.46</v>
          </cell>
          <cell r="P98">
            <v>166373.62</v>
          </cell>
          <cell r="Q98">
            <v>185012.61</v>
          </cell>
          <cell r="R98">
            <v>253817.42</v>
          </cell>
          <cell r="S98">
            <v>69741.31</v>
          </cell>
        </row>
        <row r="106">
          <cell r="H106">
            <v>0.2104437308422128</v>
          </cell>
          <cell r="I106">
            <v>0.56951162427835855</v>
          </cell>
          <cell r="J106">
            <v>0.33830827616406361</v>
          </cell>
          <cell r="K106">
            <v>0.44868024132730011</v>
          </cell>
          <cell r="L106">
            <v>0.35695518902350021</v>
          </cell>
          <cell r="M106">
            <v>0.48721719457013574</v>
          </cell>
          <cell r="N106">
            <v>0.21177565318931543</v>
          </cell>
          <cell r="O106">
            <v>0.12653262297474821</v>
          </cell>
          <cell r="P106">
            <v>0.52162518853695317</v>
          </cell>
          <cell r="Q106">
            <v>0.47682820026273537</v>
          </cell>
          <cell r="R106">
            <v>0.86157616892911004</v>
          </cell>
          <cell r="S106">
            <v>0.18513720624726315</v>
          </cell>
        </row>
        <row r="112">
          <cell r="H112">
            <v>13657.96</v>
          </cell>
          <cell r="I112">
            <v>36995.300000000003</v>
          </cell>
          <cell r="J112">
            <v>23887.94</v>
          </cell>
          <cell r="K112">
            <v>26739.45</v>
          </cell>
          <cell r="L112">
            <v>20567.28</v>
          </cell>
          <cell r="M112">
            <v>25272.57</v>
          </cell>
          <cell r="N112">
            <v>3247.94</v>
          </cell>
          <cell r="O112">
            <v>4050</v>
          </cell>
          <cell r="P112">
            <v>31606.880000000001</v>
          </cell>
          <cell r="Q112">
            <v>32125.94</v>
          </cell>
          <cell r="R112">
            <v>53820.639999999999</v>
          </cell>
          <cell r="S112">
            <v>10217.43</v>
          </cell>
        </row>
        <row r="113">
          <cell r="H113">
            <v>38853.21</v>
          </cell>
          <cell r="I113">
            <v>73288.06</v>
          </cell>
          <cell r="J113">
            <v>61672.28</v>
          </cell>
          <cell r="K113">
            <v>68029.27</v>
          </cell>
          <cell r="L113">
            <v>54503.56</v>
          </cell>
          <cell r="M113">
            <v>71295.5</v>
          </cell>
          <cell r="N113">
            <v>15023.98</v>
          </cell>
          <cell r="O113">
            <v>16337.23</v>
          </cell>
          <cell r="P113">
            <v>76518.42</v>
          </cell>
          <cell r="Q113">
            <v>77481.78</v>
          </cell>
          <cell r="R113">
            <v>112850.19</v>
          </cell>
          <cell r="S113">
            <v>29914.25</v>
          </cell>
        </row>
        <row r="116">
          <cell r="J116">
            <v>31675.49</v>
          </cell>
          <cell r="K116">
            <v>38781.980000000003</v>
          </cell>
          <cell r="L116">
            <v>28665.78</v>
          </cell>
          <cell r="M116">
            <v>49481.440000000002</v>
          </cell>
          <cell r="N116">
            <v>15320.5</v>
          </cell>
          <cell r="O116">
            <v>12908.85</v>
          </cell>
          <cell r="P116">
            <v>38478.18</v>
          </cell>
          <cell r="Q116">
            <v>41288.85</v>
          </cell>
          <cell r="R116">
            <v>53280.37</v>
          </cell>
          <cell r="S116">
            <v>18034.47</v>
          </cell>
        </row>
        <row r="130"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3">
          <cell r="H133">
            <v>98660.03</v>
          </cell>
          <cell r="I133">
            <v>107234.13</v>
          </cell>
        </row>
        <row r="138">
          <cell r="J138">
            <v>750.79452054794524</v>
          </cell>
          <cell r="K138">
            <v>726.57534246575347</v>
          </cell>
          <cell r="L138">
            <v>750.79452054794524</v>
          </cell>
          <cell r="M138">
            <v>726.57534246575347</v>
          </cell>
          <cell r="N138">
            <v>750.79452054794524</v>
          </cell>
          <cell r="O138">
            <v>750.79452054794524</v>
          </cell>
          <cell r="P138">
            <v>726.57534246575347</v>
          </cell>
          <cell r="Q138">
            <v>750.79452054794524</v>
          </cell>
          <cell r="R138">
            <v>726.57534246575347</v>
          </cell>
          <cell r="S138">
            <v>750.79452054794524</v>
          </cell>
        </row>
        <row r="141">
          <cell r="H141">
            <v>0.11987301123923515</v>
          </cell>
          <cell r="I141">
            <v>0.37303011390232482</v>
          </cell>
        </row>
        <row r="144"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7">
          <cell r="H147">
            <v>8218.99</v>
          </cell>
          <cell r="I147">
            <v>22360.38</v>
          </cell>
        </row>
        <row r="148">
          <cell r="H148">
            <v>47252.19</v>
          </cell>
          <cell r="I148">
            <v>47737.91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51">
          <cell r="H151">
            <v>33143.11</v>
          </cell>
          <cell r="I151">
            <v>25116.71</v>
          </cell>
        </row>
      </sheetData>
      <sheetData sheetId="1">
        <row r="11">
          <cell r="B11">
            <v>565</v>
          </cell>
          <cell r="C11">
            <v>2092</v>
          </cell>
          <cell r="D11">
            <v>3.7</v>
          </cell>
          <cell r="E11">
            <v>253817.42</v>
          </cell>
          <cell r="F11">
            <v>449.23</v>
          </cell>
          <cell r="H11">
            <v>121.33</v>
          </cell>
        </row>
        <row r="22">
          <cell r="E22">
            <v>626</v>
          </cell>
          <cell r="F22">
            <v>371</v>
          </cell>
        </row>
        <row r="26">
          <cell r="D26">
            <v>53820.639999999999</v>
          </cell>
          <cell r="E26">
            <v>53280.37</v>
          </cell>
          <cell r="F26">
            <v>112850.19</v>
          </cell>
          <cell r="H26">
            <v>33866.22</v>
          </cell>
        </row>
      </sheetData>
      <sheetData sheetId="2">
        <row r="11">
          <cell r="B11">
            <v>414</v>
          </cell>
          <cell r="C11">
            <v>1916</v>
          </cell>
          <cell r="D11">
            <v>4.63</v>
          </cell>
          <cell r="E11">
            <v>185012.61</v>
          </cell>
          <cell r="F11">
            <v>446.89</v>
          </cell>
          <cell r="H11">
            <v>96.56</v>
          </cell>
        </row>
        <row r="22">
          <cell r="E22">
            <v>358</v>
          </cell>
          <cell r="F22">
            <v>266</v>
          </cell>
        </row>
        <row r="26">
          <cell r="D26">
            <v>32125.94</v>
          </cell>
          <cell r="E26">
            <v>41288.85</v>
          </cell>
          <cell r="F26">
            <v>77481.78</v>
          </cell>
          <cell r="H26">
            <v>34116.050000000003</v>
          </cell>
        </row>
      </sheetData>
      <sheetData sheetId="3">
        <row r="16">
          <cell r="B16">
            <v>7006.44</v>
          </cell>
          <cell r="C16">
            <v>7283.13</v>
          </cell>
          <cell r="D16">
            <v>7410.2000000000007</v>
          </cell>
          <cell r="E16">
            <v>7497.2400000000007</v>
          </cell>
          <cell r="F16">
            <v>13683.099999999999</v>
          </cell>
          <cell r="G16">
            <v>7783.71</v>
          </cell>
          <cell r="H16">
            <v>7783.71</v>
          </cell>
          <cell r="I16">
            <v>7783.71</v>
          </cell>
          <cell r="J16">
            <v>7783.71</v>
          </cell>
          <cell r="K16">
            <v>7783.71</v>
          </cell>
          <cell r="L16">
            <v>9672.9</v>
          </cell>
          <cell r="M16">
            <v>10696.77</v>
          </cell>
        </row>
        <row r="37">
          <cell r="B37">
            <v>6588.83</v>
          </cell>
          <cell r="C37">
            <v>6917.3000000000011</v>
          </cell>
          <cell r="D37">
            <v>5774.83</v>
          </cell>
          <cell r="E37">
            <v>8120.15</v>
          </cell>
          <cell r="F37">
            <v>11961.519999999999</v>
          </cell>
          <cell r="G37">
            <v>8173.1799999999994</v>
          </cell>
          <cell r="H37">
            <v>7880.24</v>
          </cell>
          <cell r="I37">
            <v>8251.49</v>
          </cell>
          <cell r="J37">
            <v>8222.9</v>
          </cell>
          <cell r="K37">
            <v>8851.56</v>
          </cell>
          <cell r="L37">
            <v>8855.3399999999983</v>
          </cell>
          <cell r="M37">
            <v>11246.689999999999</v>
          </cell>
        </row>
        <row r="45">
          <cell r="B45">
            <v>7444.3600000000006</v>
          </cell>
          <cell r="C45">
            <v>7444.3600000000006</v>
          </cell>
          <cell r="D45">
            <v>7444.3600000000006</v>
          </cell>
          <cell r="E45">
            <v>9402.6200000000008</v>
          </cell>
          <cell r="F45">
            <v>14868.72</v>
          </cell>
          <cell r="G45">
            <v>11207.52</v>
          </cell>
          <cell r="H45">
            <v>11207.52</v>
          </cell>
          <cell r="I45">
            <v>11207.52</v>
          </cell>
          <cell r="J45">
            <v>11285.8</v>
          </cell>
          <cell r="K45">
            <v>9250</v>
          </cell>
          <cell r="L45">
            <v>9500</v>
          </cell>
          <cell r="M45">
            <v>9500</v>
          </cell>
          <cell r="O45">
            <v>5.6400000000000006</v>
          </cell>
          <cell r="P45">
            <v>6.04</v>
          </cell>
          <cell r="Q45">
            <v>5.14</v>
          </cell>
          <cell r="R45">
            <v>7.1399999999999988</v>
          </cell>
          <cell r="S45">
            <v>6.9399999999999995</v>
          </cell>
          <cell r="T45">
            <v>7.339999999999999</v>
          </cell>
          <cell r="U45">
            <v>6.9399999999999995</v>
          </cell>
          <cell r="V45">
            <v>6.9399999999999995</v>
          </cell>
          <cell r="W45">
            <v>6.9399999999999995</v>
          </cell>
          <cell r="X45">
            <v>6.5399999999999991</v>
          </cell>
          <cell r="Y45">
            <v>6.76</v>
          </cell>
          <cell r="Z45">
            <v>7.56</v>
          </cell>
        </row>
      </sheetData>
      <sheetData sheetId="4">
        <row r="64">
          <cell r="N64">
            <v>149818.15</v>
          </cell>
        </row>
        <row r="70">
          <cell r="B70">
            <v>3131.42</v>
          </cell>
          <cell r="C70">
            <v>3131.42</v>
          </cell>
          <cell r="D70">
            <v>3131.42</v>
          </cell>
          <cell r="E70">
            <v>3131.42</v>
          </cell>
        </row>
        <row r="73">
          <cell r="B73">
            <v>11396.24</v>
          </cell>
          <cell r="C73">
            <v>11396.24</v>
          </cell>
          <cell r="D73">
            <v>11396.24</v>
          </cell>
          <cell r="E73">
            <v>11396.24</v>
          </cell>
          <cell r="F73">
            <v>12621.16</v>
          </cell>
          <cell r="G73">
            <v>14978.029999999999</v>
          </cell>
          <cell r="H73">
            <v>7655.75</v>
          </cell>
          <cell r="I73">
            <v>7655.75</v>
          </cell>
          <cell r="J73">
            <v>7930.14</v>
          </cell>
          <cell r="K73">
            <v>9244.77</v>
          </cell>
          <cell r="L73">
            <v>9244.77</v>
          </cell>
          <cell r="M73">
            <v>10646.63</v>
          </cell>
          <cell r="N73">
            <v>125561.96</v>
          </cell>
        </row>
        <row r="95">
          <cell r="N95">
            <v>2408.92</v>
          </cell>
        </row>
        <row r="96">
          <cell r="B96">
            <v>19644.559999999998</v>
          </cell>
          <cell r="C96">
            <v>18770.399999999998</v>
          </cell>
          <cell r="D96">
            <v>18217.96</v>
          </cell>
          <cell r="E96">
            <v>18988.330000000002</v>
          </cell>
          <cell r="F96">
            <v>18144.920000000002</v>
          </cell>
          <cell r="G96">
            <v>15458.79</v>
          </cell>
          <cell r="H96">
            <v>12795.21</v>
          </cell>
          <cell r="I96">
            <v>11805.64</v>
          </cell>
          <cell r="J96">
            <v>10833.099999999999</v>
          </cell>
          <cell r="K96">
            <v>11373.719999999998</v>
          </cell>
          <cell r="L96">
            <v>14107.22</v>
          </cell>
          <cell r="M96">
            <v>15546.470000000001</v>
          </cell>
          <cell r="N96">
            <v>185686.32</v>
          </cell>
        </row>
        <row r="103">
          <cell r="B103">
            <v>12969.39</v>
          </cell>
          <cell r="C103">
            <v>12973.09</v>
          </cell>
          <cell r="D103">
            <v>12973.09</v>
          </cell>
          <cell r="E103">
            <v>12973.09</v>
          </cell>
          <cell r="F103">
            <v>14540.21</v>
          </cell>
          <cell r="G103">
            <v>12712.65</v>
          </cell>
          <cell r="H103">
            <v>12712.65</v>
          </cell>
          <cell r="I103">
            <v>12712.65</v>
          </cell>
          <cell r="J103">
            <v>13205.87</v>
          </cell>
          <cell r="K103">
            <v>13205.87</v>
          </cell>
          <cell r="L103">
            <v>13205.87</v>
          </cell>
          <cell r="M103">
            <v>15014.88</v>
          </cell>
          <cell r="N103">
            <v>159199.30999999997</v>
          </cell>
        </row>
        <row r="108">
          <cell r="N108">
            <v>61341.460000000006</v>
          </cell>
        </row>
        <row r="110">
          <cell r="O110">
            <v>7.9200000000000008</v>
          </cell>
        </row>
      </sheetData>
      <sheetData sheetId="5">
        <row r="9">
          <cell r="F9">
            <v>12881.63</v>
          </cell>
          <cell r="H9">
            <v>12881.63</v>
          </cell>
          <cell r="J9">
            <v>12881.63</v>
          </cell>
          <cell r="L9">
            <v>12881.63</v>
          </cell>
          <cell r="N9">
            <v>14090</v>
          </cell>
          <cell r="P9">
            <v>12881.63</v>
          </cell>
          <cell r="R9">
            <v>12881.63</v>
          </cell>
          <cell r="T9">
            <v>12881.63</v>
          </cell>
          <cell r="V9">
            <v>12881.63</v>
          </cell>
          <cell r="X9">
            <v>15348.63</v>
          </cell>
          <cell r="Z9">
            <v>15348.63</v>
          </cell>
          <cell r="AB9">
            <v>15348.63</v>
          </cell>
        </row>
        <row r="19">
          <cell r="F19">
            <v>9931</v>
          </cell>
          <cell r="H19">
            <v>9931</v>
          </cell>
          <cell r="J19">
            <v>9931</v>
          </cell>
          <cell r="L19">
            <v>9931</v>
          </cell>
          <cell r="N19">
            <v>7782</v>
          </cell>
          <cell r="P19">
            <v>5794</v>
          </cell>
          <cell r="R19">
            <v>5117</v>
          </cell>
          <cell r="T19">
            <v>8642</v>
          </cell>
          <cell r="V19">
            <v>8144</v>
          </cell>
          <cell r="X19">
            <v>8143</v>
          </cell>
          <cell r="Z19">
            <v>8143</v>
          </cell>
          <cell r="AB19">
            <v>8231</v>
          </cell>
        </row>
        <row r="39">
          <cell r="F39">
            <v>12294</v>
          </cell>
          <cell r="H39">
            <v>13665</v>
          </cell>
          <cell r="J39">
            <v>14074</v>
          </cell>
          <cell r="L39">
            <v>15989</v>
          </cell>
          <cell r="N39">
            <v>19123</v>
          </cell>
          <cell r="P39">
            <v>15262</v>
          </cell>
          <cell r="R39">
            <v>17106</v>
          </cell>
          <cell r="S39">
            <v>9429</v>
          </cell>
          <cell r="V39">
            <v>12089</v>
          </cell>
          <cell r="X39">
            <v>15121</v>
          </cell>
          <cell r="Z39">
            <v>16433</v>
          </cell>
          <cell r="AB39">
            <v>16972</v>
          </cell>
        </row>
        <row r="47">
          <cell r="F47">
            <v>14176</v>
          </cell>
          <cell r="H47">
            <v>14176</v>
          </cell>
          <cell r="J47">
            <v>14176</v>
          </cell>
          <cell r="L47">
            <v>14176</v>
          </cell>
          <cell r="N47">
            <v>16075</v>
          </cell>
          <cell r="P47">
            <v>14191</v>
          </cell>
          <cell r="R47">
            <v>14191</v>
          </cell>
          <cell r="S47">
            <v>10822</v>
          </cell>
          <cell r="V47">
            <v>14191</v>
          </cell>
          <cell r="X47">
            <v>14191</v>
          </cell>
          <cell r="Z47">
            <v>14191</v>
          </cell>
          <cell r="AB47">
            <v>14191</v>
          </cell>
        </row>
        <row r="51">
          <cell r="J51">
            <v>2038</v>
          </cell>
          <cell r="L51">
            <v>2038</v>
          </cell>
          <cell r="N51">
            <v>2038</v>
          </cell>
        </row>
        <row r="53">
          <cell r="F53">
            <v>5257</v>
          </cell>
          <cell r="H53">
            <v>5257</v>
          </cell>
          <cell r="J53">
            <v>5257</v>
          </cell>
          <cell r="L53">
            <v>5257</v>
          </cell>
          <cell r="N53">
            <v>6841</v>
          </cell>
          <cell r="P53">
            <v>4803</v>
          </cell>
          <cell r="R53">
            <v>4803</v>
          </cell>
          <cell r="T53">
            <v>6569</v>
          </cell>
          <cell r="V53">
            <v>8044</v>
          </cell>
          <cell r="X53">
            <v>8044</v>
          </cell>
          <cell r="Z53">
            <v>8044</v>
          </cell>
          <cell r="AB53">
            <v>8044</v>
          </cell>
        </row>
        <row r="55">
          <cell r="F55">
            <v>54539.63</v>
          </cell>
          <cell r="H55">
            <v>55910.63</v>
          </cell>
          <cell r="J55">
            <v>56319.63</v>
          </cell>
          <cell r="L55">
            <v>58234.63</v>
          </cell>
          <cell r="N55">
            <v>63911</v>
          </cell>
          <cell r="P55">
            <v>52931.63</v>
          </cell>
          <cell r="R55">
            <v>54098.63</v>
          </cell>
          <cell r="T55">
            <v>54558.63</v>
          </cell>
          <cell r="V55">
            <v>55349.63</v>
          </cell>
          <cell r="X55">
            <v>60847.63</v>
          </cell>
          <cell r="Z55">
            <v>62159.63</v>
          </cell>
          <cell r="AB55">
            <v>62786.63</v>
          </cell>
        </row>
        <row r="71">
          <cell r="J71">
            <v>131.73333333333335</v>
          </cell>
          <cell r="L71">
            <v>131.73333333333335</v>
          </cell>
          <cell r="N71">
            <v>131.73333333333335</v>
          </cell>
        </row>
        <row r="79">
          <cell r="J79">
            <v>164.66666666666666</v>
          </cell>
          <cell r="L79">
            <v>164.66666666666666</v>
          </cell>
          <cell r="N79">
            <v>164.66666666666666</v>
          </cell>
          <cell r="P79">
            <v>164.66666666666666</v>
          </cell>
          <cell r="R79">
            <v>164.66666666666666</v>
          </cell>
          <cell r="S79">
            <v>1</v>
          </cell>
          <cell r="V79">
            <v>164.66666666666666</v>
          </cell>
          <cell r="X79">
            <v>164.66666666666666</v>
          </cell>
          <cell r="Z79">
            <v>164.66666666666666</v>
          </cell>
          <cell r="AB79">
            <v>164.66666666666666</v>
          </cell>
        </row>
        <row r="85">
          <cell r="J85">
            <v>48.25</v>
          </cell>
          <cell r="L85">
            <v>37</v>
          </cell>
          <cell r="N85">
            <v>21.25</v>
          </cell>
          <cell r="P85">
            <v>46.5</v>
          </cell>
          <cell r="R85">
            <v>4</v>
          </cell>
          <cell r="T85">
            <v>0</v>
          </cell>
          <cell r="V85">
            <v>52.25</v>
          </cell>
          <cell r="X85">
            <v>34.5</v>
          </cell>
          <cell r="Z85">
            <v>34.5</v>
          </cell>
          <cell r="AB85">
            <v>34.5</v>
          </cell>
        </row>
        <row r="87">
          <cell r="J87">
            <v>38</v>
          </cell>
          <cell r="L87">
            <v>47.5</v>
          </cell>
          <cell r="N87">
            <v>32.75</v>
          </cell>
          <cell r="P87">
            <v>40.75</v>
          </cell>
          <cell r="R87">
            <v>12.25</v>
          </cell>
          <cell r="T87">
            <v>25.5</v>
          </cell>
          <cell r="V87">
            <v>15.25</v>
          </cell>
          <cell r="X87">
            <v>69.25</v>
          </cell>
          <cell r="Z87">
            <v>45.25</v>
          </cell>
          <cell r="AB87">
            <v>24.75</v>
          </cell>
        </row>
      </sheetData>
      <sheetData sheetId="6">
        <row r="50">
          <cell r="F50">
            <v>62565.320000000014</v>
          </cell>
          <cell r="H50">
            <v>63017.970000000016</v>
          </cell>
        </row>
      </sheetData>
      <sheetData sheetId="7">
        <row r="11">
          <cell r="B11">
            <v>160</v>
          </cell>
          <cell r="C11">
            <v>687</v>
          </cell>
          <cell r="D11">
            <v>4.29</v>
          </cell>
          <cell r="E11">
            <v>69741.31</v>
          </cell>
          <cell r="F11">
            <v>435.88</v>
          </cell>
          <cell r="H11">
            <v>101.52</v>
          </cell>
        </row>
        <row r="22">
          <cell r="E22">
            <v>139</v>
          </cell>
          <cell r="F22">
            <v>74</v>
          </cell>
        </row>
        <row r="26">
          <cell r="D26">
            <v>10217.43</v>
          </cell>
          <cell r="E26">
            <v>18034.47</v>
          </cell>
          <cell r="F26">
            <v>29914.25</v>
          </cell>
          <cell r="H26">
            <v>11575.15</v>
          </cell>
        </row>
      </sheetData>
      <sheetData sheetId="8">
        <row r="11">
          <cell r="B11">
            <v>180</v>
          </cell>
          <cell r="C11">
            <v>1333</v>
          </cell>
          <cell r="D11">
            <v>7.41</v>
          </cell>
          <cell r="E11">
            <v>98660.03</v>
          </cell>
          <cell r="F11">
            <v>548.11</v>
          </cell>
          <cell r="H11">
            <v>74.010000000000005</v>
          </cell>
        </row>
        <row r="22">
          <cell r="E22">
            <v>90</v>
          </cell>
          <cell r="H22">
            <v>91</v>
          </cell>
        </row>
        <row r="26">
          <cell r="D26">
            <v>8218.99</v>
          </cell>
          <cell r="E26">
            <v>33143.11</v>
          </cell>
          <cell r="F26">
            <v>47252.19</v>
          </cell>
          <cell r="H26">
            <v>10045.75</v>
          </cell>
        </row>
      </sheetData>
      <sheetData sheetId="9">
        <row r="11">
          <cell r="B11">
            <v>216</v>
          </cell>
          <cell r="C11">
            <v>1092</v>
          </cell>
          <cell r="E11">
            <v>107234.13</v>
          </cell>
          <cell r="F11">
            <v>496.45</v>
          </cell>
          <cell r="H11">
            <v>98.2</v>
          </cell>
        </row>
        <row r="22">
          <cell r="E22">
            <v>262</v>
          </cell>
          <cell r="F22">
            <v>137</v>
          </cell>
        </row>
        <row r="26">
          <cell r="D26">
            <v>22360.38</v>
          </cell>
          <cell r="E26">
            <v>25116.71</v>
          </cell>
          <cell r="F26">
            <v>47737.91</v>
          </cell>
          <cell r="H26">
            <v>12019.14</v>
          </cell>
        </row>
      </sheetData>
      <sheetData sheetId="10"/>
      <sheetData sheetId="11"/>
      <sheetData sheetId="12"/>
      <sheetData sheetId="13">
        <row r="11">
          <cell r="B11">
            <v>3866</v>
          </cell>
          <cell r="C11">
            <v>18171</v>
          </cell>
          <cell r="E11">
            <v>1547933.75</v>
          </cell>
          <cell r="F11">
            <v>400.4</v>
          </cell>
        </row>
        <row r="22">
          <cell r="E22">
            <v>4181</v>
          </cell>
          <cell r="F22">
            <v>2706</v>
          </cell>
        </row>
        <row r="26">
          <cell r="D26">
            <v>260477.52</v>
          </cell>
          <cell r="E26">
            <v>359422.83</v>
          </cell>
          <cell r="F26">
            <v>858855.91</v>
          </cell>
          <cell r="H26">
            <v>69177.490000000005</v>
          </cell>
        </row>
      </sheetData>
      <sheetData sheetId="14">
        <row r="11">
          <cell r="B11">
            <v>4140</v>
          </cell>
          <cell r="C11">
            <v>17561</v>
          </cell>
          <cell r="E11">
            <v>1899372.8</v>
          </cell>
          <cell r="F11">
            <v>458.79</v>
          </cell>
        </row>
        <row r="22">
          <cell r="E22">
            <v>4728</v>
          </cell>
          <cell r="F22">
            <v>2732</v>
          </cell>
        </row>
        <row r="26">
          <cell r="D26">
            <v>375519.84</v>
          </cell>
          <cell r="F26">
            <v>829012.33</v>
          </cell>
          <cell r="H26">
            <v>232864.77</v>
          </cell>
        </row>
      </sheetData>
      <sheetData sheetId="15">
        <row r="11">
          <cell r="B11">
            <v>3639</v>
          </cell>
          <cell r="C11">
            <v>15551</v>
          </cell>
          <cell r="D11">
            <v>4.2699999999999996</v>
          </cell>
          <cell r="E11">
            <v>1572095.19</v>
          </cell>
          <cell r="F11">
            <v>432.01</v>
          </cell>
          <cell r="H11">
            <v>101.09</v>
          </cell>
        </row>
        <row r="22">
          <cell r="E22">
            <v>3641</v>
          </cell>
          <cell r="F22">
            <v>2303</v>
          </cell>
        </row>
        <row r="26">
          <cell r="D26">
            <v>282189.33</v>
          </cell>
          <cell r="E26">
            <v>381955.74</v>
          </cell>
          <cell r="F26">
            <v>695767.72</v>
          </cell>
          <cell r="H26">
            <v>212182.39</v>
          </cell>
        </row>
        <row r="62">
          <cell r="F62">
            <v>19362.18</v>
          </cell>
          <cell r="H62">
            <v>237929.49</v>
          </cell>
        </row>
      </sheetData>
      <sheetData sheetId="16">
        <row r="11">
          <cell r="B11">
            <v>2803</v>
          </cell>
        </row>
      </sheetData>
      <sheetData sheetId="17">
        <row r="11">
          <cell r="B11">
            <v>234</v>
          </cell>
          <cell r="C11">
            <v>968</v>
          </cell>
          <cell r="D11">
            <v>4.1399999999999997</v>
          </cell>
          <cell r="E11">
            <v>92473.76</v>
          </cell>
          <cell r="F11">
            <v>395.19</v>
          </cell>
          <cell r="H11">
            <v>95.53</v>
          </cell>
        </row>
        <row r="22">
          <cell r="E22">
            <v>158</v>
          </cell>
          <cell r="F22">
            <v>134</v>
          </cell>
        </row>
        <row r="26">
          <cell r="D26">
            <v>13657.96</v>
          </cell>
          <cell r="E26">
            <v>26345.8</v>
          </cell>
          <cell r="F26">
            <v>38853.21</v>
          </cell>
          <cell r="H26">
            <v>13616.78</v>
          </cell>
        </row>
      </sheetData>
      <sheetData sheetId="18">
        <row r="22">
          <cell r="E22">
            <v>136</v>
          </cell>
          <cell r="F22">
            <v>132</v>
          </cell>
        </row>
        <row r="26">
          <cell r="H26">
            <v>1758.87</v>
          </cell>
        </row>
      </sheetData>
      <sheetData sheetId="19">
        <row r="22">
          <cell r="E22">
            <v>342</v>
          </cell>
          <cell r="F22">
            <v>262</v>
          </cell>
        </row>
        <row r="26">
          <cell r="H26">
            <v>2801.59</v>
          </cell>
        </row>
      </sheetData>
      <sheetData sheetId="20">
        <row r="11">
          <cell r="B11">
            <v>408</v>
          </cell>
          <cell r="C11">
            <v>1820</v>
          </cell>
          <cell r="D11">
            <v>4.46</v>
          </cell>
          <cell r="E11">
            <v>152549.82</v>
          </cell>
          <cell r="F11">
            <v>373.9</v>
          </cell>
        </row>
        <row r="15">
          <cell r="D15">
            <v>287.95</v>
          </cell>
        </row>
        <row r="18">
          <cell r="B18">
            <v>1178</v>
          </cell>
        </row>
        <row r="22">
          <cell r="C22">
            <v>57.14</v>
          </cell>
          <cell r="D22">
            <v>24.84</v>
          </cell>
          <cell r="E22">
            <v>512</v>
          </cell>
          <cell r="F22">
            <v>295</v>
          </cell>
        </row>
        <row r="26">
          <cell r="D26">
            <v>29256.19</v>
          </cell>
          <cell r="E26">
            <v>32538.22</v>
          </cell>
          <cell r="F26">
            <v>88413.46</v>
          </cell>
          <cell r="H26">
            <v>2341.94</v>
          </cell>
        </row>
      </sheetData>
      <sheetData sheetId="21">
        <row r="11">
          <cell r="B11">
            <v>362</v>
          </cell>
          <cell r="C11">
            <v>1918</v>
          </cell>
          <cell r="D11">
            <v>5.3</v>
          </cell>
          <cell r="E11">
            <v>143685.69</v>
          </cell>
          <cell r="F11">
            <v>396.92</v>
          </cell>
        </row>
        <row r="22">
          <cell r="E22">
            <v>326</v>
          </cell>
          <cell r="F22">
            <v>241</v>
          </cell>
        </row>
        <row r="26">
          <cell r="E26">
            <v>38277.9</v>
          </cell>
          <cell r="H26">
            <v>2823.77</v>
          </cell>
        </row>
      </sheetData>
      <sheetData sheetId="22">
        <row r="11">
          <cell r="B11">
            <v>310</v>
          </cell>
          <cell r="C11">
            <v>1628</v>
          </cell>
          <cell r="D11">
            <v>5.25</v>
          </cell>
          <cell r="E11">
            <v>121176.15</v>
          </cell>
          <cell r="F11">
            <v>390.89</v>
          </cell>
        </row>
        <row r="22">
          <cell r="E22">
            <v>272</v>
          </cell>
          <cell r="F22">
            <v>214</v>
          </cell>
        </row>
        <row r="26">
          <cell r="E26">
            <v>37193.67</v>
          </cell>
          <cell r="H26">
            <v>3498.06</v>
          </cell>
        </row>
      </sheetData>
      <sheetData sheetId="23">
        <row r="11">
          <cell r="B11">
            <v>412</v>
          </cell>
          <cell r="C11">
            <v>1951</v>
          </cell>
          <cell r="E11">
            <v>173395.29</v>
          </cell>
          <cell r="F11">
            <v>420.86</v>
          </cell>
        </row>
        <row r="22">
          <cell r="E22">
            <v>444</v>
          </cell>
          <cell r="F22">
            <v>298</v>
          </cell>
        </row>
      </sheetData>
      <sheetData sheetId="24">
        <row r="11">
          <cell r="B11">
            <v>168</v>
          </cell>
          <cell r="C11">
            <v>1208</v>
          </cell>
          <cell r="E11">
            <v>82747.34</v>
          </cell>
          <cell r="F11">
            <v>492.54</v>
          </cell>
        </row>
        <row r="22">
          <cell r="E22">
            <v>132</v>
          </cell>
          <cell r="F22">
            <v>107</v>
          </cell>
        </row>
      </sheetData>
      <sheetData sheetId="25">
        <row r="11">
          <cell r="B11">
            <v>181</v>
          </cell>
          <cell r="C11">
            <v>643</v>
          </cell>
          <cell r="E11">
            <v>54811.16</v>
          </cell>
          <cell r="F11">
            <v>302.82</v>
          </cell>
        </row>
        <row r="22">
          <cell r="E22">
            <v>363</v>
          </cell>
          <cell r="F22">
            <v>162</v>
          </cell>
        </row>
      </sheetData>
      <sheetData sheetId="26">
        <row r="11">
          <cell r="B11">
            <v>357</v>
          </cell>
          <cell r="C11">
            <v>1914</v>
          </cell>
          <cell r="E11">
            <v>155661.68</v>
          </cell>
          <cell r="F11">
            <v>436.03</v>
          </cell>
        </row>
        <row r="22">
          <cell r="E22">
            <v>343</v>
          </cell>
          <cell r="F22">
            <v>241</v>
          </cell>
        </row>
        <row r="26">
          <cell r="D26">
            <v>22338.3</v>
          </cell>
          <cell r="E26">
            <v>40362.58</v>
          </cell>
          <cell r="F26">
            <v>88124.76</v>
          </cell>
        </row>
      </sheetData>
      <sheetData sheetId="27">
        <row r="11">
          <cell r="B11">
            <v>437</v>
          </cell>
          <cell r="C11">
            <v>1920</v>
          </cell>
          <cell r="E11">
            <v>170010.2</v>
          </cell>
          <cell r="F11">
            <v>389.04</v>
          </cell>
        </row>
        <row r="22">
          <cell r="E22">
            <v>469</v>
          </cell>
          <cell r="F22">
            <v>293</v>
          </cell>
        </row>
        <row r="26">
          <cell r="D26">
            <v>28116.52</v>
          </cell>
          <cell r="E26">
            <v>35794.51</v>
          </cell>
          <cell r="F26">
            <v>80704.350000000006</v>
          </cell>
          <cell r="H26">
            <v>25394.82</v>
          </cell>
        </row>
      </sheetData>
      <sheetData sheetId="28">
        <row r="11">
          <cell r="B11">
            <v>513</v>
          </cell>
          <cell r="C11">
            <v>2111</v>
          </cell>
          <cell r="E11">
            <v>215389.25</v>
          </cell>
          <cell r="F11">
            <v>419.86</v>
          </cell>
        </row>
        <row r="22">
          <cell r="E22">
            <v>600</v>
          </cell>
          <cell r="F22">
            <v>372</v>
          </cell>
        </row>
        <row r="26">
          <cell r="D26">
            <v>37149.08</v>
          </cell>
          <cell r="E26">
            <v>55848.959999999999</v>
          </cell>
          <cell r="F26">
            <v>114042.54</v>
          </cell>
          <cell r="H26">
            <v>8348.69</v>
          </cell>
        </row>
      </sheetData>
      <sheetData sheetId="29">
        <row r="11">
          <cell r="B11">
            <v>230</v>
          </cell>
          <cell r="C11">
            <v>1126</v>
          </cell>
          <cell r="E11">
            <v>99908.25</v>
          </cell>
          <cell r="F11">
            <v>434.38</v>
          </cell>
        </row>
        <row r="22">
          <cell r="E22">
            <v>242</v>
          </cell>
          <cell r="F22">
            <v>140</v>
          </cell>
        </row>
        <row r="26">
          <cell r="D26">
            <v>15068.81</v>
          </cell>
          <cell r="E26">
            <v>25389.88</v>
          </cell>
          <cell r="F26">
            <v>55028.47</v>
          </cell>
          <cell r="H26">
            <v>4421.09</v>
          </cell>
        </row>
      </sheetData>
      <sheetData sheetId="30">
        <row r="11">
          <cell r="B11">
            <v>298</v>
          </cell>
          <cell r="C11">
            <v>1505</v>
          </cell>
          <cell r="D11">
            <v>5.05</v>
          </cell>
          <cell r="E11">
            <v>96044.31</v>
          </cell>
          <cell r="F11">
            <v>322.3</v>
          </cell>
          <cell r="H11">
            <v>63.82</v>
          </cell>
        </row>
        <row r="22">
          <cell r="E22">
            <v>211</v>
          </cell>
          <cell r="F22">
            <v>199</v>
          </cell>
        </row>
        <row r="26">
          <cell r="D26">
            <v>13707.8</v>
          </cell>
          <cell r="E26">
            <v>31089.94</v>
          </cell>
          <cell r="F26">
            <v>43518.52</v>
          </cell>
          <cell r="H26">
            <v>7728.05</v>
          </cell>
        </row>
      </sheetData>
      <sheetData sheetId="31">
        <row r="11">
          <cell r="B11">
            <v>298</v>
          </cell>
          <cell r="C11">
            <v>1040</v>
          </cell>
          <cell r="D11">
            <v>3.49</v>
          </cell>
          <cell r="E11">
            <v>107389.09</v>
          </cell>
          <cell r="F11">
            <v>360.37</v>
          </cell>
          <cell r="H11">
            <v>103.26</v>
          </cell>
        </row>
        <row r="22">
          <cell r="E22">
            <v>411</v>
          </cell>
          <cell r="F22">
            <v>224</v>
          </cell>
        </row>
        <row r="26">
          <cell r="D26">
            <v>28231.47</v>
          </cell>
          <cell r="E26">
            <v>21379.360000000001</v>
          </cell>
          <cell r="F26">
            <v>52732.4</v>
          </cell>
          <cell r="H26">
            <v>5045.8599999999997</v>
          </cell>
        </row>
      </sheetData>
      <sheetData sheetId="32">
        <row r="11">
          <cell r="B11">
            <v>365</v>
          </cell>
          <cell r="C11">
            <v>1391</v>
          </cell>
          <cell r="D11">
            <v>3.81</v>
          </cell>
          <cell r="E11">
            <v>147786.56</v>
          </cell>
          <cell r="F11">
            <v>404.89</v>
          </cell>
          <cell r="H11">
            <v>106.24</v>
          </cell>
        </row>
        <row r="22">
          <cell r="E22">
            <v>400</v>
          </cell>
          <cell r="F22">
            <v>236</v>
          </cell>
        </row>
        <row r="26">
          <cell r="D26">
            <v>36995.300000000003</v>
          </cell>
          <cell r="E26">
            <v>27694.03</v>
          </cell>
          <cell r="F26">
            <v>73288.06</v>
          </cell>
          <cell r="H26">
            <v>9809.17</v>
          </cell>
        </row>
      </sheetData>
      <sheetData sheetId="33">
        <row r="11">
          <cell r="B11">
            <v>290</v>
          </cell>
          <cell r="C11">
            <v>1356</v>
          </cell>
          <cell r="D11">
            <v>4.68</v>
          </cell>
          <cell r="E11">
            <v>141675.93</v>
          </cell>
          <cell r="F11">
            <v>488.54</v>
          </cell>
          <cell r="H11">
            <v>104.48</v>
          </cell>
        </row>
        <row r="22">
          <cell r="E22">
            <v>254</v>
          </cell>
          <cell r="F22">
            <v>157</v>
          </cell>
        </row>
        <row r="26">
          <cell r="D26">
            <v>23887.94</v>
          </cell>
          <cell r="E26">
            <v>31675.49</v>
          </cell>
          <cell r="F26">
            <v>61672.28</v>
          </cell>
          <cell r="H26">
            <v>24440.22</v>
          </cell>
        </row>
      </sheetData>
      <sheetData sheetId="34">
        <row r="11">
          <cell r="B11">
            <v>371</v>
          </cell>
          <cell r="C11">
            <v>1454</v>
          </cell>
          <cell r="D11">
            <v>3.92</v>
          </cell>
          <cell r="E11">
            <v>154732.44</v>
          </cell>
          <cell r="F11">
            <v>417.07</v>
          </cell>
          <cell r="H11">
            <v>106.42</v>
          </cell>
        </row>
        <row r="22">
          <cell r="E22">
            <v>326</v>
          </cell>
          <cell r="F22">
            <v>258</v>
          </cell>
        </row>
        <row r="26">
          <cell r="D26">
            <v>26739.45</v>
          </cell>
          <cell r="E26">
            <v>38781.980000000003</v>
          </cell>
          <cell r="F26">
            <v>68029.27</v>
          </cell>
          <cell r="H26">
            <v>21181.75</v>
          </cell>
        </row>
      </sheetData>
      <sheetData sheetId="35">
        <row r="11">
          <cell r="B11">
            <v>378</v>
          </cell>
          <cell r="C11">
            <v>1386</v>
          </cell>
          <cell r="D11">
            <v>3.67</v>
          </cell>
          <cell r="E11">
            <v>125337.4</v>
          </cell>
          <cell r="F11">
            <v>331.58</v>
          </cell>
          <cell r="H11">
            <v>90.43</v>
          </cell>
        </row>
        <row r="22">
          <cell r="E22">
            <v>268</v>
          </cell>
          <cell r="F22">
            <v>167</v>
          </cell>
        </row>
        <row r="26">
          <cell r="D26">
            <v>20567.28</v>
          </cell>
          <cell r="E26">
            <v>28665.78</v>
          </cell>
          <cell r="F26">
            <v>54503.56</v>
          </cell>
          <cell r="H26">
            <v>21600.78</v>
          </cell>
        </row>
      </sheetData>
      <sheetData sheetId="36">
        <row r="11">
          <cell r="B11">
            <v>358</v>
          </cell>
          <cell r="C11">
            <v>1678</v>
          </cell>
          <cell r="D11">
            <v>4.6900000000000004</v>
          </cell>
          <cell r="E11">
            <v>158482.07999999999</v>
          </cell>
          <cell r="F11">
            <v>442.69</v>
          </cell>
          <cell r="H11">
            <v>94.45</v>
          </cell>
        </row>
        <row r="22">
          <cell r="E22">
            <v>354</v>
          </cell>
          <cell r="F22">
            <v>259</v>
          </cell>
        </row>
        <row r="26">
          <cell r="D26">
            <v>25272.57</v>
          </cell>
          <cell r="E26">
            <v>49481.440000000002</v>
          </cell>
          <cell r="F26">
            <v>71295.5</v>
          </cell>
          <cell r="H26">
            <v>12432.57</v>
          </cell>
        </row>
      </sheetData>
      <sheetData sheetId="37">
        <row r="11">
          <cell r="B11">
            <v>126</v>
          </cell>
          <cell r="C11">
            <v>637</v>
          </cell>
          <cell r="D11">
            <v>5.0599999999999996</v>
          </cell>
          <cell r="E11">
            <v>36632.65</v>
          </cell>
          <cell r="F11">
            <v>290.74</v>
          </cell>
          <cell r="H11">
            <v>57.51</v>
          </cell>
        </row>
        <row r="22">
          <cell r="E22">
            <v>159</v>
          </cell>
          <cell r="F22">
            <v>84</v>
          </cell>
        </row>
        <row r="26">
          <cell r="D26">
            <v>3247.94</v>
          </cell>
          <cell r="E26">
            <v>15320.5</v>
          </cell>
          <cell r="F26">
            <v>15023.98</v>
          </cell>
          <cell r="H26">
            <v>3040.24</v>
          </cell>
        </row>
      </sheetData>
      <sheetData sheetId="38">
        <row r="11">
          <cell r="B11">
            <v>395</v>
          </cell>
          <cell r="C11">
            <v>1840</v>
          </cell>
          <cell r="D11">
            <v>4.66</v>
          </cell>
          <cell r="E11">
            <v>167507.82</v>
          </cell>
          <cell r="F11">
            <v>424.07</v>
          </cell>
          <cell r="H11">
            <v>91.04</v>
          </cell>
        </row>
        <row r="22">
          <cell r="E22">
            <v>380</v>
          </cell>
          <cell r="F22">
            <v>276</v>
          </cell>
        </row>
        <row r="26">
          <cell r="D26">
            <v>25881.93</v>
          </cell>
          <cell r="E26">
            <v>52905.32</v>
          </cell>
          <cell r="F26">
            <v>78862.44</v>
          </cell>
          <cell r="H26">
            <v>9858.14</v>
          </cell>
        </row>
      </sheetData>
      <sheetData sheetId="39">
        <row r="11">
          <cell r="B11">
            <v>246</v>
          </cell>
          <cell r="C11">
            <v>1034</v>
          </cell>
          <cell r="D11">
            <v>4.2</v>
          </cell>
          <cell r="E11">
            <v>234049.09</v>
          </cell>
          <cell r="F11">
            <v>951.42</v>
          </cell>
          <cell r="H11">
            <v>226.35</v>
          </cell>
        </row>
        <row r="22">
          <cell r="E22">
            <v>258</v>
          </cell>
          <cell r="F22">
            <v>153</v>
          </cell>
        </row>
        <row r="26">
          <cell r="D26">
            <v>53070.45</v>
          </cell>
          <cell r="E26">
            <v>50794.59</v>
          </cell>
          <cell r="F26">
            <v>76785.600000000006</v>
          </cell>
          <cell r="H26">
            <v>53398.45</v>
          </cell>
        </row>
      </sheetData>
      <sheetData sheetId="40">
        <row r="11">
          <cell r="B11">
            <v>236</v>
          </cell>
          <cell r="C11">
            <v>1240</v>
          </cell>
          <cell r="D11">
            <v>5.25</v>
          </cell>
          <cell r="E11">
            <v>137194.29999999999</v>
          </cell>
          <cell r="F11">
            <v>581.33000000000004</v>
          </cell>
          <cell r="H11">
            <v>110.64</v>
          </cell>
        </row>
        <row r="22">
          <cell r="E22">
            <v>297</v>
          </cell>
          <cell r="F22">
            <v>160</v>
          </cell>
        </row>
        <row r="26">
          <cell r="D26">
            <v>27889.75</v>
          </cell>
          <cell r="E26">
            <v>48554.9</v>
          </cell>
          <cell r="F26">
            <v>53632.35</v>
          </cell>
          <cell r="H26">
            <v>7117.3</v>
          </cell>
        </row>
      </sheetData>
      <sheetData sheetId="41">
        <row r="11">
          <cell r="B11">
            <v>385</v>
          </cell>
          <cell r="C11">
            <v>1697</v>
          </cell>
          <cell r="D11">
            <v>4.41</v>
          </cell>
          <cell r="E11">
            <v>205119.86</v>
          </cell>
          <cell r="F11">
            <v>532.78</v>
          </cell>
          <cell r="H11">
            <v>120.87</v>
          </cell>
        </row>
        <row r="22">
          <cell r="E22">
            <v>468</v>
          </cell>
          <cell r="F22">
            <v>278</v>
          </cell>
        </row>
        <row r="26">
          <cell r="D26">
            <v>34643.75</v>
          </cell>
          <cell r="E26">
            <v>68816.95</v>
          </cell>
          <cell r="F26">
            <v>91322.41</v>
          </cell>
          <cell r="H26">
            <v>10336.75</v>
          </cell>
        </row>
      </sheetData>
      <sheetData sheetId="42">
        <row r="11">
          <cell r="B11">
            <v>324</v>
          </cell>
          <cell r="C11">
            <v>872</v>
          </cell>
          <cell r="D11">
            <v>2.69</v>
          </cell>
          <cell r="E11">
            <v>106382.15</v>
          </cell>
          <cell r="H11">
            <v>122</v>
          </cell>
        </row>
        <row r="22">
          <cell r="E22">
            <v>480</v>
          </cell>
          <cell r="F22">
            <v>281</v>
          </cell>
        </row>
        <row r="26">
          <cell r="D26">
            <v>27790.83</v>
          </cell>
          <cell r="E26">
            <v>9974</v>
          </cell>
          <cell r="F26">
            <v>59091.199999999997</v>
          </cell>
          <cell r="H26">
            <v>9526.1200000000008</v>
          </cell>
        </row>
      </sheetData>
      <sheetData sheetId="43">
        <row r="11">
          <cell r="B11">
            <v>253</v>
          </cell>
          <cell r="C11">
            <v>1190</v>
          </cell>
          <cell r="D11">
            <v>4.7</v>
          </cell>
          <cell r="E11">
            <v>102851.69</v>
          </cell>
          <cell r="F11">
            <v>406.53</v>
          </cell>
          <cell r="H11">
            <v>86.43</v>
          </cell>
        </row>
        <row r="22">
          <cell r="E22">
            <v>363</v>
          </cell>
          <cell r="F22">
            <v>158</v>
          </cell>
        </row>
        <row r="26">
          <cell r="D26">
            <v>20812.84</v>
          </cell>
          <cell r="E26">
            <v>13256.57</v>
          </cell>
          <cell r="F26">
            <v>48083.11</v>
          </cell>
          <cell r="H26">
            <v>20699.16</v>
          </cell>
        </row>
      </sheetData>
      <sheetData sheetId="44">
        <row r="11">
          <cell r="B11">
            <v>386</v>
          </cell>
          <cell r="C11">
            <v>1971</v>
          </cell>
          <cell r="D11">
            <v>5.1100000000000003</v>
          </cell>
          <cell r="E11">
            <v>186537.41</v>
          </cell>
          <cell r="F11">
            <v>483.26</v>
          </cell>
          <cell r="H11">
            <v>94.64</v>
          </cell>
        </row>
        <row r="22">
          <cell r="E22">
            <v>438</v>
          </cell>
          <cell r="F22">
            <v>241</v>
          </cell>
        </row>
        <row r="26">
          <cell r="D26">
            <v>32966.65</v>
          </cell>
          <cell r="E26">
            <v>45785.69</v>
          </cell>
          <cell r="F26">
            <v>85642.41</v>
          </cell>
          <cell r="H26">
            <v>22142.66</v>
          </cell>
        </row>
      </sheetData>
      <sheetData sheetId="45">
        <row r="11">
          <cell r="B11">
            <v>561</v>
          </cell>
          <cell r="C11">
            <v>2108</v>
          </cell>
          <cell r="D11">
            <v>3.76</v>
          </cell>
          <cell r="E11">
            <v>276441.63</v>
          </cell>
          <cell r="F11">
            <v>492.77</v>
          </cell>
        </row>
        <row r="22">
          <cell r="E22">
            <v>566</v>
          </cell>
          <cell r="F22">
            <v>303</v>
          </cell>
        </row>
        <row r="26">
          <cell r="D26">
            <v>54747.86</v>
          </cell>
          <cell r="E26">
            <v>58329.31</v>
          </cell>
          <cell r="F26">
            <v>114591.12</v>
          </cell>
          <cell r="H26">
            <v>48773.35</v>
          </cell>
        </row>
      </sheetData>
      <sheetData sheetId="46">
        <row r="11">
          <cell r="B11">
            <v>129</v>
          </cell>
          <cell r="C11">
            <v>808</v>
          </cell>
          <cell r="D11">
            <v>6.26</v>
          </cell>
          <cell r="E11">
            <v>40612.46</v>
          </cell>
          <cell r="F11">
            <v>314.83</v>
          </cell>
          <cell r="H11">
            <v>50.26</v>
          </cell>
        </row>
        <row r="22">
          <cell r="E22">
            <v>211</v>
          </cell>
          <cell r="F22">
            <v>95</v>
          </cell>
        </row>
        <row r="26">
          <cell r="D26">
            <v>4050</v>
          </cell>
          <cell r="E26">
            <v>12908.85</v>
          </cell>
          <cell r="F26">
            <v>16337.23</v>
          </cell>
          <cell r="H26">
            <v>7316.38</v>
          </cell>
        </row>
      </sheetData>
      <sheetData sheetId="47">
        <row r="11">
          <cell r="B11">
            <v>335</v>
          </cell>
          <cell r="C11">
            <v>1476</v>
          </cell>
          <cell r="D11">
            <v>4.41</v>
          </cell>
          <cell r="E11">
            <v>166373.62</v>
          </cell>
          <cell r="F11">
            <v>496.64</v>
          </cell>
          <cell r="H11">
            <v>112.72</v>
          </cell>
        </row>
        <row r="22">
          <cell r="E22">
            <v>379</v>
          </cell>
          <cell r="F22">
            <v>233</v>
          </cell>
        </row>
        <row r="26">
          <cell r="D26">
            <v>31606.880000000001</v>
          </cell>
          <cell r="E26">
            <v>38478.18</v>
          </cell>
          <cell r="F26">
            <v>76518.42</v>
          </cell>
          <cell r="H26">
            <v>19770.13</v>
          </cell>
        </row>
      </sheetData>
      <sheetData sheetId="48">
        <row r="11">
          <cell r="B11">
            <v>605</v>
          </cell>
          <cell r="C11">
            <v>2643</v>
          </cell>
          <cell r="D11">
            <v>4.37</v>
          </cell>
          <cell r="E11">
            <v>261908.98</v>
          </cell>
        </row>
        <row r="22">
          <cell r="E22">
            <v>593</v>
          </cell>
        </row>
        <row r="26">
          <cell r="D26">
            <v>47781.42</v>
          </cell>
          <cell r="E26">
            <v>66977.279999999999</v>
          </cell>
          <cell r="F26">
            <v>107403.68</v>
          </cell>
          <cell r="H26">
            <v>39746.589999999997</v>
          </cell>
        </row>
      </sheetData>
      <sheetData sheetId="49">
        <row r="11">
          <cell r="B11">
            <v>291</v>
          </cell>
          <cell r="C11">
            <v>1190</v>
          </cell>
          <cell r="D11">
            <v>4.09</v>
          </cell>
          <cell r="E11">
            <v>97056.07</v>
          </cell>
          <cell r="F11">
            <v>333.53</v>
          </cell>
        </row>
        <row r="22">
          <cell r="E22">
            <v>244</v>
          </cell>
          <cell r="F22">
            <v>138</v>
          </cell>
        </row>
        <row r="26">
          <cell r="D26">
            <v>17259.63</v>
          </cell>
          <cell r="E26">
            <v>25385.87</v>
          </cell>
          <cell r="F26">
            <v>43115.15</v>
          </cell>
          <cell r="H26">
            <v>11295.42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0"/>
  <sheetViews>
    <sheetView topLeftCell="A78" zoomScale="111" zoomScaleNormal="140" workbookViewId="0">
      <selection activeCell="I88" sqref="I88:I98"/>
    </sheetView>
  </sheetViews>
  <sheetFormatPr baseColWidth="10" defaultColWidth="8.83203125" defaultRowHeight="15" x14ac:dyDescent="0.2"/>
  <cols>
    <col min="1" max="1" width="32" customWidth="1"/>
    <col min="2" max="2" width="12.33203125" style="148" hidden="1" customWidth="1"/>
    <col min="3" max="3" width="6" style="148" hidden="1" customWidth="1"/>
    <col min="4" max="4" width="12.33203125" style="148" hidden="1" customWidth="1"/>
    <col min="5" max="6" width="12.33203125" style="111" hidden="1" customWidth="1"/>
    <col min="7" max="7" width="12.33203125" style="148" hidden="1" customWidth="1"/>
    <col min="8" max="8" width="8.33203125" style="89" customWidth="1"/>
    <col min="9" max="9" width="9.1640625" style="89" customWidth="1"/>
    <col min="10" max="10" width="9.6640625" style="89" customWidth="1"/>
    <col min="11" max="11" width="9.1640625" style="89" customWidth="1"/>
    <col min="12" max="12" width="10.83203125" style="89" customWidth="1"/>
    <col min="13" max="14" width="9.1640625" style="89" customWidth="1"/>
    <col min="15" max="19" width="12.33203125" style="89" bestFit="1" customWidth="1"/>
    <col min="20" max="20" width="12.5" customWidth="1"/>
    <col min="21" max="21" width="11" customWidth="1"/>
    <col min="22" max="22" width="11.5" bestFit="1" customWidth="1"/>
    <col min="23" max="23" width="11.6640625" bestFit="1" customWidth="1"/>
    <col min="24" max="24" width="9" bestFit="1" customWidth="1"/>
  </cols>
  <sheetData>
    <row r="1" spans="1:35" ht="27" x14ac:dyDescent="0.2">
      <c r="A1" s="85">
        <v>2022</v>
      </c>
      <c r="B1" s="91" t="s">
        <v>38</v>
      </c>
      <c r="C1" s="91"/>
      <c r="D1" s="92" t="s">
        <v>39</v>
      </c>
      <c r="E1" s="93"/>
      <c r="F1" s="112" t="e">
        <f>#REF!/38*24</f>
        <v>#REF!</v>
      </c>
      <c r="G1" s="91"/>
      <c r="H1" s="86" t="s">
        <v>0</v>
      </c>
      <c r="I1" s="86" t="s">
        <v>1</v>
      </c>
      <c r="J1" s="86" t="s">
        <v>2</v>
      </c>
      <c r="K1" s="86" t="s">
        <v>3</v>
      </c>
      <c r="L1" s="86" t="s">
        <v>4</v>
      </c>
      <c r="M1" s="86" t="s">
        <v>5</v>
      </c>
      <c r="N1" s="86" t="s">
        <v>6</v>
      </c>
      <c r="O1" s="86" t="s">
        <v>7</v>
      </c>
      <c r="P1" s="86" t="s">
        <v>8</v>
      </c>
      <c r="Q1" s="113" t="s">
        <v>9</v>
      </c>
      <c r="R1" s="113" t="s">
        <v>10</v>
      </c>
      <c r="S1" s="113" t="s">
        <v>11</v>
      </c>
      <c r="T1" s="87" t="s">
        <v>40</v>
      </c>
      <c r="U1" t="s">
        <v>41</v>
      </c>
      <c r="V1" s="87"/>
    </row>
    <row r="2" spans="1:35" x14ac:dyDescent="0.2">
      <c r="A2" s="88" t="s">
        <v>42</v>
      </c>
      <c r="B2" s="91">
        <f>2736+515</f>
        <v>3251</v>
      </c>
      <c r="C2" s="91"/>
      <c r="D2" s="92">
        <v>3925</v>
      </c>
      <c r="E2" s="93"/>
      <c r="F2" s="93"/>
      <c r="G2" s="91"/>
      <c r="H2" s="89">
        <v>197</v>
      </c>
      <c r="I2" s="89">
        <v>356</v>
      </c>
      <c r="J2" s="95">
        <f>'[1]mrt 22'!B11</f>
        <v>408</v>
      </c>
      <c r="K2" s="95">
        <f>'[1]april 22'!B11</f>
        <v>362</v>
      </c>
      <c r="L2" s="95">
        <f>'[1]mei 22'!B11</f>
        <v>310</v>
      </c>
      <c r="M2" s="95">
        <f>'[1]juni 22'!B11</f>
        <v>412</v>
      </c>
      <c r="N2" s="95">
        <f>'[1]juli 22'!B11</f>
        <v>168</v>
      </c>
      <c r="O2" s="95">
        <f>'[1]aug 22'!B11</f>
        <v>181</v>
      </c>
      <c r="P2" s="95">
        <f>'[1]sept 22'!B11</f>
        <v>357</v>
      </c>
      <c r="Q2" s="96">
        <f>'[1]okt 22'!B11</f>
        <v>437</v>
      </c>
      <c r="R2" s="96">
        <f>'[1]nov 22'!B11</f>
        <v>513</v>
      </c>
      <c r="S2" s="96">
        <f>'[1]dec 22'!B11</f>
        <v>230</v>
      </c>
      <c r="T2" s="96">
        <f>'[1]Totaal 22'!B11</f>
        <v>3866</v>
      </c>
    </row>
    <row r="3" spans="1:35" x14ac:dyDescent="0.2">
      <c r="A3" s="88" t="s">
        <v>12</v>
      </c>
      <c r="B3" s="91">
        <f>10475+1910</f>
        <v>12385</v>
      </c>
      <c r="C3" s="91"/>
      <c r="D3" s="92">
        <v>18408</v>
      </c>
      <c r="E3" s="93"/>
      <c r="F3" s="93"/>
      <c r="G3" s="91"/>
      <c r="H3" s="89">
        <v>825</v>
      </c>
      <c r="I3" s="89">
        <v>1280</v>
      </c>
      <c r="J3" s="95">
        <f>'[1]mrt 22'!C11</f>
        <v>1820</v>
      </c>
      <c r="K3" s="95">
        <f>'[1]april 22'!C11</f>
        <v>1918</v>
      </c>
      <c r="L3" s="95">
        <f>'[1]mei 22'!C11</f>
        <v>1628</v>
      </c>
      <c r="M3" s="95">
        <f>'[1]juni 22'!C11</f>
        <v>1951</v>
      </c>
      <c r="N3" s="95">
        <f>'[1]juli 22'!C11</f>
        <v>1208</v>
      </c>
      <c r="O3" s="95">
        <f>'[1]aug 22'!C11</f>
        <v>643</v>
      </c>
      <c r="P3" s="95">
        <f>'[1]sept 22'!C11</f>
        <v>1914</v>
      </c>
      <c r="Q3" s="96">
        <f>'[1]okt 22'!C11</f>
        <v>1920</v>
      </c>
      <c r="R3" s="96">
        <f>'[1]nov 22'!C11</f>
        <v>2111</v>
      </c>
      <c r="S3" s="96">
        <f>'[1]dec 22'!C11</f>
        <v>1126</v>
      </c>
      <c r="T3" s="96">
        <f>'[1]Totaal 22'!C11</f>
        <v>18171</v>
      </c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</row>
    <row r="4" spans="1:35" x14ac:dyDescent="0.2">
      <c r="A4" s="88" t="s">
        <v>13</v>
      </c>
      <c r="B4" s="115">
        <f>B3/B2</f>
        <v>3.8095970470624425</v>
      </c>
      <c r="C4" s="115"/>
      <c r="D4" s="116">
        <v>4.6500000000000004</v>
      </c>
      <c r="E4" s="117"/>
      <c r="F4" s="117"/>
      <c r="G4" s="115"/>
      <c r="H4" s="89">
        <v>4.1900000000000004</v>
      </c>
      <c r="I4" s="89">
        <v>3.6</v>
      </c>
      <c r="J4" s="118">
        <f>'[1]mrt 22'!D11</f>
        <v>4.46</v>
      </c>
      <c r="K4" s="119">
        <f>'[1]april 22'!D11</f>
        <v>5.3</v>
      </c>
      <c r="L4" s="119">
        <f>'[1]mei 22'!D11</f>
        <v>5.25</v>
      </c>
      <c r="M4" s="119">
        <v>4.74</v>
      </c>
      <c r="N4" s="119">
        <v>7.19</v>
      </c>
      <c r="O4" s="119">
        <f t="shared" ref="O4:T4" si="0">O3/O2</f>
        <v>3.5524861878453038</v>
      </c>
      <c r="P4" s="119">
        <f t="shared" si="0"/>
        <v>5.3613445378151257</v>
      </c>
      <c r="Q4" s="120">
        <f t="shared" si="0"/>
        <v>4.3935926773455378</v>
      </c>
      <c r="R4" s="120">
        <f t="shared" si="0"/>
        <v>4.1150097465886937</v>
      </c>
      <c r="S4" s="120">
        <f t="shared" si="0"/>
        <v>4.8956521739130432</v>
      </c>
      <c r="T4" s="120">
        <f t="shared" si="0"/>
        <v>4.7002069322296949</v>
      </c>
    </row>
    <row r="5" spans="1:35" x14ac:dyDescent="0.2">
      <c r="A5" s="88" t="s">
        <v>14</v>
      </c>
      <c r="B5" s="121">
        <f>173570+1009777</f>
        <v>1183347</v>
      </c>
      <c r="C5" s="121"/>
      <c r="D5" s="122">
        <v>1560809</v>
      </c>
      <c r="E5" s="123"/>
      <c r="F5" s="123"/>
      <c r="G5" s="121"/>
      <c r="H5" s="90">
        <v>68545</v>
      </c>
      <c r="I5" s="90">
        <v>110053</v>
      </c>
      <c r="J5" s="90">
        <f>'[1]mrt 22'!E11</f>
        <v>152549.82</v>
      </c>
      <c r="K5" s="90">
        <f>'[1]april 22'!E11</f>
        <v>143685.69</v>
      </c>
      <c r="L5" s="124">
        <f>'[1]mei 22'!E11</f>
        <v>121176.15</v>
      </c>
      <c r="M5" s="124">
        <f>'[1]juni 22'!E11</f>
        <v>173395.29</v>
      </c>
      <c r="N5" s="124">
        <f>'[1]juli 22'!E11</f>
        <v>82747.34</v>
      </c>
      <c r="O5" s="124">
        <f>'[1]aug 22'!E11</f>
        <v>54811.16</v>
      </c>
      <c r="P5" s="90">
        <f>'[1]sept 22'!E11</f>
        <v>155661.68</v>
      </c>
      <c r="Q5" s="108">
        <f>'[1]okt 22'!E11</f>
        <v>170010.2</v>
      </c>
      <c r="R5" s="108">
        <f>'[1]nov 22'!E11</f>
        <v>215389.25</v>
      </c>
      <c r="S5" s="108">
        <f>'[1]dec 22'!E11</f>
        <v>99908.25</v>
      </c>
      <c r="T5" s="108">
        <f>'[1]Totaal 22'!E11</f>
        <v>1547933.75</v>
      </c>
      <c r="X5" s="114"/>
      <c r="Y5" s="114"/>
      <c r="Z5" s="125"/>
    </row>
    <row r="6" spans="1:35" x14ac:dyDescent="0.2">
      <c r="A6" s="88" t="s">
        <v>15</v>
      </c>
      <c r="B6" s="126">
        <f>B5/B2</f>
        <v>363.99477083974159</v>
      </c>
      <c r="C6" s="126"/>
      <c r="D6" s="127">
        <v>396</v>
      </c>
      <c r="E6" s="128"/>
      <c r="F6" s="128"/>
      <c r="G6" s="126"/>
      <c r="H6" s="90">
        <v>347.94</v>
      </c>
      <c r="I6" s="90">
        <v>309.14</v>
      </c>
      <c r="J6" s="129">
        <f>'[1]mrt 22'!F11</f>
        <v>373.9</v>
      </c>
      <c r="K6" s="90">
        <f>'[1]april 22'!F11</f>
        <v>396.92</v>
      </c>
      <c r="L6" s="95">
        <f>'[1]mei 22'!F11</f>
        <v>390.89</v>
      </c>
      <c r="M6" s="95">
        <f>'[1]juni 22'!F11</f>
        <v>420.86</v>
      </c>
      <c r="N6" s="95">
        <f>'[1]juli 22'!F11</f>
        <v>492.54</v>
      </c>
      <c r="O6" s="95">
        <f>'[1]aug 22'!F11</f>
        <v>302.82</v>
      </c>
      <c r="P6" s="90">
        <f>'[1]sept 22'!F11</f>
        <v>436.03</v>
      </c>
      <c r="Q6" s="108">
        <f>'[1]okt 22'!F11</f>
        <v>389.04</v>
      </c>
      <c r="R6" s="108">
        <f>'[1]nov 22'!F11</f>
        <v>419.86</v>
      </c>
      <c r="S6" s="108">
        <f>'[1]dec 22'!F11</f>
        <v>434.38</v>
      </c>
      <c r="T6" s="108">
        <f>'[1]Totaal 22'!F11</f>
        <v>400.4</v>
      </c>
      <c r="X6" s="114"/>
      <c r="Y6" s="114"/>
      <c r="Z6" s="125"/>
    </row>
    <row r="7" spans="1:35" x14ac:dyDescent="0.2">
      <c r="A7" s="88" t="s">
        <v>16</v>
      </c>
      <c r="B7" s="126">
        <f>B5/B3</f>
        <v>95.546790472345577</v>
      </c>
      <c r="C7" s="126"/>
      <c r="D7" s="127">
        <v>85</v>
      </c>
      <c r="E7" s="128"/>
      <c r="F7" s="128"/>
      <c r="G7" s="126"/>
      <c r="H7" s="90">
        <v>83.08</v>
      </c>
      <c r="I7" s="90">
        <v>85.98</v>
      </c>
      <c r="J7" s="129">
        <f>J5/J3</f>
        <v>83.818582417582419</v>
      </c>
      <c r="K7" s="90">
        <v>79.95</v>
      </c>
      <c r="L7" s="90">
        <v>102.78</v>
      </c>
      <c r="M7" s="90">
        <v>89</v>
      </c>
      <c r="N7" s="90">
        <v>68.5</v>
      </c>
      <c r="O7" s="90">
        <v>85</v>
      </c>
      <c r="P7" s="107">
        <f>P5/P3</f>
        <v>81.327941483803542</v>
      </c>
      <c r="Q7" s="130">
        <f>Q5/Q3</f>
        <v>88.546979166666674</v>
      </c>
      <c r="R7" s="130">
        <f>R5/R3</f>
        <v>102.03185693983895</v>
      </c>
      <c r="S7" s="130">
        <f>S5/S3</f>
        <v>88.728463587921851</v>
      </c>
      <c r="T7" s="130">
        <f>T5/T3</f>
        <v>85.187042540311481</v>
      </c>
      <c r="X7" s="114"/>
      <c r="Y7" s="114"/>
      <c r="Z7" s="125"/>
    </row>
    <row r="8" spans="1:35" x14ac:dyDescent="0.2">
      <c r="B8" s="91"/>
      <c r="C8" s="91"/>
      <c r="D8" s="92"/>
      <c r="E8" s="93"/>
      <c r="F8" s="93"/>
      <c r="G8" s="91"/>
      <c r="I8" s="131"/>
      <c r="M8" s="132"/>
      <c r="N8" s="132"/>
      <c r="O8" s="132"/>
      <c r="Q8" s="133"/>
      <c r="R8" s="132"/>
      <c r="S8" s="132"/>
      <c r="X8" s="114"/>
      <c r="Y8" s="114"/>
      <c r="Z8" s="125"/>
    </row>
    <row r="9" spans="1:35" x14ac:dyDescent="0.2">
      <c r="A9" s="88" t="s">
        <v>17</v>
      </c>
      <c r="B9" s="91"/>
      <c r="C9" s="91"/>
      <c r="D9" s="92"/>
      <c r="E9" s="93"/>
      <c r="F9" s="93"/>
      <c r="G9" s="91"/>
      <c r="H9" s="95">
        <f>1178</f>
        <v>1178</v>
      </c>
      <c r="I9" s="95">
        <f>1064</f>
        <v>1064</v>
      </c>
      <c r="J9" s="95">
        <f>1178</f>
        <v>1178</v>
      </c>
      <c r="K9" s="95">
        <f>1140</f>
        <v>1140</v>
      </c>
      <c r="L9" s="95">
        <f>1178</f>
        <v>1178</v>
      </c>
      <c r="M9" s="95">
        <f>1140</f>
        <v>1140</v>
      </c>
      <c r="N9" s="95">
        <f>1178</f>
        <v>1178</v>
      </c>
      <c r="O9" s="95">
        <f>1178</f>
        <v>1178</v>
      </c>
      <c r="P9" s="95">
        <f>1140</f>
        <v>1140</v>
      </c>
      <c r="Q9" s="96">
        <f>1178</f>
        <v>1178</v>
      </c>
      <c r="R9" s="95">
        <f>1140</f>
        <v>1140</v>
      </c>
      <c r="S9" s="96">
        <f>1178</f>
        <v>1178</v>
      </c>
      <c r="T9" s="96">
        <f>SUM(H9:S9)</f>
        <v>13870</v>
      </c>
      <c r="X9" s="114"/>
      <c r="Y9" s="114"/>
      <c r="Z9" s="125"/>
    </row>
    <row r="10" spans="1:35" x14ac:dyDescent="0.2">
      <c r="A10" s="88" t="s">
        <v>18</v>
      </c>
      <c r="B10" s="91">
        <v>13870</v>
      </c>
      <c r="C10" s="91"/>
      <c r="D10" s="92">
        <v>14600</v>
      </c>
      <c r="E10" s="93"/>
      <c r="F10" s="93"/>
      <c r="G10" s="94"/>
      <c r="H10" s="95">
        <f>1178*221/365</f>
        <v>713.25479452054799</v>
      </c>
      <c r="I10" s="95">
        <f>1064*221/365</f>
        <v>644.23013698630132</v>
      </c>
      <c r="J10" s="95">
        <f>'[1]mrt 22'!B18*221/365</f>
        <v>713.25479452054799</v>
      </c>
      <c r="K10" s="95">
        <f>1140*221/365</f>
        <v>690.2465753424658</v>
      </c>
      <c r="L10" s="95">
        <f>1178*221/365</f>
        <v>713.25479452054799</v>
      </c>
      <c r="M10" s="95">
        <f>1140*221/365</f>
        <v>690.2465753424658</v>
      </c>
      <c r="N10" s="95">
        <f>1178*221/365</f>
        <v>713.25479452054799</v>
      </c>
      <c r="O10" s="95">
        <f>1178*221/365</f>
        <v>713.25479452054799</v>
      </c>
      <c r="P10" s="95">
        <f>1140*221/365</f>
        <v>690.2465753424658</v>
      </c>
      <c r="Q10" s="96">
        <f>1178*221/365</f>
        <v>713.25479452054799</v>
      </c>
      <c r="R10" s="95">
        <f>1140*221/365</f>
        <v>690.2465753424658</v>
      </c>
      <c r="S10" s="96">
        <f>1178*221/365</f>
        <v>713.25479452054799</v>
      </c>
      <c r="T10" s="96">
        <v>8398</v>
      </c>
      <c r="U10">
        <f>221*38</f>
        <v>8398</v>
      </c>
      <c r="X10" s="114"/>
      <c r="Y10" s="114"/>
      <c r="Z10" s="125"/>
    </row>
    <row r="11" spans="1:35" s="184" customFormat="1" x14ac:dyDescent="0.2">
      <c r="A11" s="180" t="s">
        <v>84</v>
      </c>
      <c r="B11" s="181"/>
      <c r="C11" s="181"/>
      <c r="D11" s="181"/>
      <c r="E11" s="181"/>
      <c r="F11" s="181"/>
      <c r="G11" s="181"/>
      <c r="H11" s="182">
        <f t="shared" ref="H11:S11" si="1">H9*185/365</f>
        <v>597.06849315068496</v>
      </c>
      <c r="I11" s="182">
        <f t="shared" si="1"/>
        <v>539.28767123287673</v>
      </c>
      <c r="J11" s="182">
        <f t="shared" si="1"/>
        <v>597.06849315068496</v>
      </c>
      <c r="K11" s="182">
        <f t="shared" si="1"/>
        <v>577.80821917808214</v>
      </c>
      <c r="L11" s="182">
        <f t="shared" si="1"/>
        <v>597.06849315068496</v>
      </c>
      <c r="M11" s="182">
        <f t="shared" si="1"/>
        <v>577.80821917808214</v>
      </c>
      <c r="N11" s="182">
        <f t="shared" si="1"/>
        <v>597.06849315068496</v>
      </c>
      <c r="O11" s="182">
        <f t="shared" si="1"/>
        <v>597.06849315068496</v>
      </c>
      <c r="P11" s="182">
        <f t="shared" si="1"/>
        <v>577.80821917808214</v>
      </c>
      <c r="Q11" s="183">
        <f t="shared" si="1"/>
        <v>597.06849315068496</v>
      </c>
      <c r="R11" s="182">
        <f t="shared" si="1"/>
        <v>577.80821917808214</v>
      </c>
      <c r="S11" s="183">
        <f t="shared" si="1"/>
        <v>597.06849315068496</v>
      </c>
      <c r="T11" s="183">
        <f>SUM(H11:S11)</f>
        <v>7030</v>
      </c>
      <c r="X11" s="185"/>
      <c r="Y11" s="185"/>
      <c r="Z11" s="186"/>
    </row>
    <row r="12" spans="1:35" x14ac:dyDescent="0.2">
      <c r="A12" s="88" t="s">
        <v>19</v>
      </c>
      <c r="B12" s="134">
        <f>B5/B19</f>
        <v>257.64141084258654</v>
      </c>
      <c r="C12" s="134"/>
      <c r="D12" s="135">
        <v>330</v>
      </c>
      <c r="E12" s="112"/>
      <c r="F12" s="112"/>
      <c r="G12" s="134"/>
      <c r="H12" s="97">
        <f>H5/H19</f>
        <v>504.00735294117646</v>
      </c>
      <c r="I12" s="97">
        <f>I5/I19</f>
        <v>321.79239766081872</v>
      </c>
      <c r="J12" s="97">
        <f>'[1]mrt 22'!D15</f>
        <v>287.95</v>
      </c>
      <c r="K12" s="97">
        <f t="shared" ref="K12:T12" si="2">K5/K19</f>
        <v>440.75365030674845</v>
      </c>
      <c r="L12" s="97">
        <f t="shared" si="2"/>
        <v>445.50055147058822</v>
      </c>
      <c r="M12" s="97">
        <f t="shared" si="2"/>
        <v>390.52993243243247</v>
      </c>
      <c r="N12" s="97">
        <f t="shared" si="2"/>
        <v>626.87378787878788</v>
      </c>
      <c r="O12" s="97">
        <f t="shared" si="2"/>
        <v>150.99493112947658</v>
      </c>
      <c r="P12" s="97">
        <f t="shared" si="2"/>
        <v>453.82413994169093</v>
      </c>
      <c r="Q12" s="98">
        <f t="shared" si="2"/>
        <v>362.49509594882733</v>
      </c>
      <c r="R12" s="98">
        <f t="shared" si="2"/>
        <v>358.98208333333332</v>
      </c>
      <c r="S12" s="98">
        <f t="shared" si="2"/>
        <v>412.84400826446279</v>
      </c>
      <c r="T12" s="98">
        <f t="shared" si="2"/>
        <v>370.23050705572831</v>
      </c>
      <c r="X12" s="114"/>
      <c r="Y12" s="114"/>
      <c r="Z12" s="125"/>
    </row>
    <row r="13" spans="1:35" x14ac:dyDescent="0.2">
      <c r="A13" s="88" t="s">
        <v>20</v>
      </c>
      <c r="B13" s="134"/>
      <c r="C13" s="134"/>
      <c r="D13" s="135"/>
      <c r="E13" s="112"/>
      <c r="F13" s="112"/>
      <c r="G13" s="134"/>
      <c r="H13" s="136">
        <f t="shared" ref="H13:T13" si="3">H19/H9</f>
        <v>0.11544991511035653</v>
      </c>
      <c r="I13" s="137">
        <f t="shared" si="3"/>
        <v>0.32142857142857145</v>
      </c>
      <c r="J13" s="137">
        <f t="shared" si="3"/>
        <v>0.43463497453310695</v>
      </c>
      <c r="K13" s="137">
        <f t="shared" si="3"/>
        <v>0.28596491228070176</v>
      </c>
      <c r="L13" s="137">
        <f t="shared" si="3"/>
        <v>0.23089983022071306</v>
      </c>
      <c r="M13" s="137">
        <f t="shared" si="3"/>
        <v>0.38947368421052631</v>
      </c>
      <c r="N13" s="137">
        <f t="shared" si="3"/>
        <v>0.11205432937181664</v>
      </c>
      <c r="O13" s="137">
        <f t="shared" si="3"/>
        <v>0.30814940577249578</v>
      </c>
      <c r="P13" s="137">
        <f t="shared" si="3"/>
        <v>0.30087719298245613</v>
      </c>
      <c r="Q13" s="137">
        <f t="shared" si="3"/>
        <v>0.39813242784380304</v>
      </c>
      <c r="R13" s="137">
        <f t="shared" si="3"/>
        <v>0.52631578947368418</v>
      </c>
      <c r="S13" s="137">
        <f t="shared" si="3"/>
        <v>0.20543293718166383</v>
      </c>
      <c r="T13" s="137">
        <f t="shared" si="3"/>
        <v>0.30144196106705118</v>
      </c>
      <c r="X13" s="114"/>
      <c r="Y13" s="114"/>
      <c r="Z13" s="125"/>
    </row>
    <row r="14" spans="1:35" x14ac:dyDescent="0.2">
      <c r="A14" s="88" t="s">
        <v>21</v>
      </c>
      <c r="B14" s="102">
        <f>B19/B10</f>
        <v>0.33114635904830569</v>
      </c>
      <c r="C14" s="102"/>
      <c r="D14" s="103">
        <v>0.28999999999999998</v>
      </c>
      <c r="E14" s="104"/>
      <c r="F14" s="104"/>
      <c r="G14" s="102"/>
      <c r="H14" s="100">
        <f t="shared" ref="H14:T14" si="4">H19/H10</f>
        <v>0.19067519916416351</v>
      </c>
      <c r="I14" s="100">
        <f t="shared" si="4"/>
        <v>0.53086619263089851</v>
      </c>
      <c r="J14" s="100">
        <f t="shared" si="4"/>
        <v>0.71783604391214495</v>
      </c>
      <c r="K14" s="100">
        <f t="shared" si="4"/>
        <v>0.47229499087084226</v>
      </c>
      <c r="L14" s="100">
        <f t="shared" si="4"/>
        <v>0.38135039832832701</v>
      </c>
      <c r="M14" s="100">
        <f t="shared" si="4"/>
        <v>0.64324839247439858</v>
      </c>
      <c r="N14" s="100">
        <f t="shared" si="4"/>
        <v>0.18506710507109986</v>
      </c>
      <c r="O14" s="100">
        <f t="shared" si="4"/>
        <v>0.50893453894552465</v>
      </c>
      <c r="P14" s="100">
        <f t="shared" si="4"/>
        <v>0.49692387076288003</v>
      </c>
      <c r="Q14" s="105">
        <f t="shared" si="4"/>
        <v>0.65754903241171092</v>
      </c>
      <c r="R14" s="100">
        <f t="shared" si="4"/>
        <v>0.86925458442486303</v>
      </c>
      <c r="S14" s="100">
        <f t="shared" si="4"/>
        <v>0.33928969263034975</v>
      </c>
      <c r="T14" s="100">
        <f t="shared" si="4"/>
        <v>0.49785663253155515</v>
      </c>
      <c r="U14" s="101">
        <f>B19/U10</f>
        <v>0.54691593236484881</v>
      </c>
      <c r="X14" s="114"/>
      <c r="Y14" s="114"/>
      <c r="Z14" s="125"/>
    </row>
    <row r="15" spans="1:35" s="184" customFormat="1" x14ac:dyDescent="0.2">
      <c r="A15" s="180" t="s">
        <v>83</v>
      </c>
      <c r="B15" s="187"/>
      <c r="C15" s="187"/>
      <c r="D15" s="187"/>
      <c r="E15" s="187"/>
      <c r="F15" s="187"/>
      <c r="G15" s="187"/>
      <c r="H15" s="188">
        <f t="shared" ref="H15:S15" si="5">H19/H11</f>
        <v>0.22777956224475748</v>
      </c>
      <c r="I15" s="188">
        <f t="shared" si="5"/>
        <v>0.63416988416988418</v>
      </c>
      <c r="J15" s="188">
        <f t="shared" si="5"/>
        <v>0.8575230578626164</v>
      </c>
      <c r="K15" s="188">
        <f t="shared" si="5"/>
        <v>0.56420104314841157</v>
      </c>
      <c r="L15" s="188">
        <f t="shared" si="5"/>
        <v>0.45555912448951497</v>
      </c>
      <c r="M15" s="188">
        <f t="shared" si="5"/>
        <v>0.768421052631579</v>
      </c>
      <c r="N15" s="188">
        <f t="shared" si="5"/>
        <v>0.22108016335520578</v>
      </c>
      <c r="O15" s="188">
        <f t="shared" si="5"/>
        <v>0.60797044922681587</v>
      </c>
      <c r="P15" s="188">
        <f t="shared" si="5"/>
        <v>0.59362256993835949</v>
      </c>
      <c r="Q15" s="189">
        <f t="shared" si="5"/>
        <v>0.78550451979993574</v>
      </c>
      <c r="R15" s="188">
        <f t="shared" si="5"/>
        <v>1.0384068278805121</v>
      </c>
      <c r="S15" s="188">
        <f t="shared" si="5"/>
        <v>0.4053136328178773</v>
      </c>
      <c r="T15" s="188">
        <f>AVERAGE(H15:S15)</f>
        <v>0.5966293239637892</v>
      </c>
      <c r="U15" s="190"/>
      <c r="X15" s="185"/>
      <c r="Y15" s="185"/>
      <c r="Z15" s="186"/>
    </row>
    <row r="16" spans="1:35" x14ac:dyDescent="0.2">
      <c r="A16" s="88" t="s">
        <v>22</v>
      </c>
      <c r="B16" s="126">
        <f>B21/B19</f>
        <v>52.981929022425433</v>
      </c>
      <c r="C16" s="126"/>
      <c r="D16" s="127">
        <v>62</v>
      </c>
      <c r="E16" s="128"/>
      <c r="F16" s="128"/>
      <c r="G16" s="126"/>
      <c r="H16" s="90">
        <v>76.61</v>
      </c>
      <c r="I16" s="90">
        <v>62.87</v>
      </c>
      <c r="J16" s="129">
        <f>'[1]mrt 22'!C22</f>
        <v>57.14</v>
      </c>
      <c r="K16" s="90">
        <v>54.86</v>
      </c>
      <c r="L16" s="90">
        <v>57.74</v>
      </c>
      <c r="M16" s="138">
        <v>62.76</v>
      </c>
      <c r="N16" s="138">
        <v>60</v>
      </c>
      <c r="O16" s="138">
        <v>18.75</v>
      </c>
      <c r="P16" s="90">
        <f>P21/P19</f>
        <v>65.126239067055394</v>
      </c>
      <c r="Q16" s="108">
        <f>Q21/Q19</f>
        <v>59.94993603411514</v>
      </c>
      <c r="R16" s="108">
        <f>R21/R19</f>
        <v>61.915133333333337</v>
      </c>
      <c r="S16" s="108">
        <f>S21/S19</f>
        <v>62.267809917355372</v>
      </c>
      <c r="T16" s="108">
        <f>T21/T19</f>
        <v>62.300291796220996</v>
      </c>
      <c r="X16" s="114"/>
      <c r="Y16" s="114"/>
      <c r="Z16" s="125"/>
    </row>
    <row r="17" spans="1:26" x14ac:dyDescent="0.2">
      <c r="A17" s="88" t="s">
        <v>23</v>
      </c>
      <c r="B17" s="126">
        <f>B21/B10</f>
        <v>17.544772891131938</v>
      </c>
      <c r="C17" s="126"/>
      <c r="D17" s="127">
        <v>18</v>
      </c>
      <c r="E17" s="128"/>
      <c r="F17" s="128"/>
      <c r="G17" s="126"/>
      <c r="H17" s="90">
        <v>8.84</v>
      </c>
      <c r="I17" s="90">
        <v>20.21</v>
      </c>
      <c r="J17" s="129">
        <f>'[1]mrt 22'!D22</f>
        <v>24.84</v>
      </c>
      <c r="K17" s="90">
        <v>20.84</v>
      </c>
      <c r="L17" s="90">
        <v>17.350000000000001</v>
      </c>
      <c r="M17" s="138">
        <v>24.44</v>
      </c>
      <c r="N17" s="138">
        <v>7.81</v>
      </c>
      <c r="O17" s="138">
        <v>18.8</v>
      </c>
      <c r="P17" s="90">
        <f>P21/P10</f>
        <v>32.362782805429859</v>
      </c>
      <c r="Q17" s="108">
        <f>Q21/Q10</f>
        <v>39.420022432376371</v>
      </c>
      <c r="R17" s="108">
        <f>R21/R10</f>
        <v>53.820013495276655</v>
      </c>
      <c r="S17" s="108">
        <f>S21/S10</f>
        <v>21.126826087624547</v>
      </c>
      <c r="T17" s="108">
        <f>T21/T10</f>
        <v>31.016613479399854</v>
      </c>
      <c r="U17" s="109">
        <f>B21/U10</f>
        <v>28.976661109788044</v>
      </c>
      <c r="X17" s="114"/>
      <c r="Y17" s="114"/>
      <c r="Z17" s="125"/>
    </row>
    <row r="18" spans="1:26" x14ac:dyDescent="0.2">
      <c r="A18" s="88" t="s">
        <v>24</v>
      </c>
      <c r="B18" s="126">
        <f>B5/B10</f>
        <v>85.317015140591209</v>
      </c>
      <c r="C18" s="126"/>
      <c r="D18" s="127">
        <f>D5/D10</f>
        <v>106.90472602739726</v>
      </c>
      <c r="E18" s="128"/>
      <c r="F18" s="128"/>
      <c r="G18" s="126"/>
      <c r="H18" s="106">
        <f t="shared" ref="H18:T18" si="6">H5/H10</f>
        <v>96.101702402261665</v>
      </c>
      <c r="I18" s="106">
        <f t="shared" si="6"/>
        <v>170.82870496376691</v>
      </c>
      <c r="J18" s="129">
        <f t="shared" si="6"/>
        <v>213.8784361099801</v>
      </c>
      <c r="K18" s="129">
        <f t="shared" si="6"/>
        <v>208.16574124791615</v>
      </c>
      <c r="L18" s="129">
        <f t="shared" si="6"/>
        <v>169.89181275879815</v>
      </c>
      <c r="M18" s="139">
        <f t="shared" si="6"/>
        <v>251.20775125029769</v>
      </c>
      <c r="N18" s="139">
        <f t="shared" si="6"/>
        <v>116.013717167682</v>
      </c>
      <c r="O18" s="139">
        <f t="shared" si="6"/>
        <v>76.846535657491415</v>
      </c>
      <c r="P18" s="129">
        <f t="shared" si="6"/>
        <v>225.51604826546</v>
      </c>
      <c r="Q18" s="110">
        <f t="shared" si="6"/>
        <v>238.35829959514172</v>
      </c>
      <c r="R18" s="110">
        <f t="shared" si="6"/>
        <v>312.04682166388818</v>
      </c>
      <c r="S18" s="110">
        <f t="shared" si="6"/>
        <v>140.07371666833117</v>
      </c>
      <c r="T18" s="110">
        <f t="shared" si="6"/>
        <v>184.32171350321505</v>
      </c>
      <c r="U18" s="109">
        <f>B5/U10</f>
        <v>140.90819242676827</v>
      </c>
      <c r="X18" s="114"/>
      <c r="Y18" s="114"/>
      <c r="Z18" s="125"/>
    </row>
    <row r="19" spans="1:26" x14ac:dyDescent="0.2">
      <c r="A19" s="88" t="s">
        <v>25</v>
      </c>
      <c r="B19" s="91">
        <f>433+4160</f>
        <v>4593</v>
      </c>
      <c r="C19" s="91"/>
      <c r="D19" s="92">
        <v>4300</v>
      </c>
      <c r="E19" s="93"/>
      <c r="F19" s="93"/>
      <c r="G19" s="91">
        <f>1588/3474</f>
        <v>0.45710995970063328</v>
      </c>
      <c r="H19" s="95">
        <f>'[1]jan 22'!E22</f>
        <v>136</v>
      </c>
      <c r="I19" s="95">
        <f>'[1]feb 22'!E22</f>
        <v>342</v>
      </c>
      <c r="J19" s="95">
        <f>'[1]mrt 22'!E22</f>
        <v>512</v>
      </c>
      <c r="K19" s="95">
        <f>'[1]april 22'!E22</f>
        <v>326</v>
      </c>
      <c r="L19" s="95">
        <f>'[1]mei 22'!E22</f>
        <v>272</v>
      </c>
      <c r="M19" s="140">
        <f>'[1]juni 22'!E22</f>
        <v>444</v>
      </c>
      <c r="N19" s="140">
        <f>'[1]juli 22'!E22</f>
        <v>132</v>
      </c>
      <c r="O19" s="140">
        <f>'[1]aug 22'!E22</f>
        <v>363</v>
      </c>
      <c r="P19" s="95">
        <f>'[1]sept 22'!E22</f>
        <v>343</v>
      </c>
      <c r="Q19" s="96">
        <f>'[1]okt 22'!E22</f>
        <v>469</v>
      </c>
      <c r="R19" s="96">
        <f>'[1]nov 22'!E22</f>
        <v>600</v>
      </c>
      <c r="S19" s="96">
        <f>'[1]dec 22'!E22</f>
        <v>242</v>
      </c>
      <c r="T19" s="96">
        <f>'[1]Totaal 22'!E22</f>
        <v>4181</v>
      </c>
    </row>
    <row r="20" spans="1:26" x14ac:dyDescent="0.2">
      <c r="A20" s="88" t="s">
        <v>26</v>
      </c>
      <c r="B20" s="91">
        <v>1947</v>
      </c>
      <c r="C20" s="91"/>
      <c r="D20" s="92">
        <v>2766</v>
      </c>
      <c r="E20" s="93"/>
      <c r="F20" s="93"/>
      <c r="G20" s="91"/>
      <c r="H20" s="95">
        <f>'[1]jan 22'!F22</f>
        <v>132</v>
      </c>
      <c r="I20" s="95">
        <f>'[1]feb 22'!F22</f>
        <v>262</v>
      </c>
      <c r="J20" s="95">
        <f>'[1]mrt 22'!F22</f>
        <v>295</v>
      </c>
      <c r="K20" s="95">
        <f>'[1]april 22'!F22</f>
        <v>241</v>
      </c>
      <c r="L20" s="95">
        <f>'[1]mei 22'!F22</f>
        <v>214</v>
      </c>
      <c r="M20" s="140">
        <f>'[1]juni 22'!F22</f>
        <v>298</v>
      </c>
      <c r="N20" s="140">
        <f>'[1]juli 22'!F22</f>
        <v>107</v>
      </c>
      <c r="O20" s="140">
        <f>'[1]aug 22'!F22</f>
        <v>162</v>
      </c>
      <c r="P20" s="95">
        <f>'[1]sept 22'!F22</f>
        <v>241</v>
      </c>
      <c r="Q20" s="96">
        <f>'[1]okt 22'!F22</f>
        <v>293</v>
      </c>
      <c r="R20" s="96">
        <f>'[1]nov 22'!F22</f>
        <v>372</v>
      </c>
      <c r="S20" s="96">
        <f>'[1]dec 22'!F22</f>
        <v>140</v>
      </c>
      <c r="T20" s="96">
        <f>'[1]Totaal 22'!F22</f>
        <v>2706</v>
      </c>
    </row>
    <row r="21" spans="1:26" x14ac:dyDescent="0.2">
      <c r="A21" s="88" t="s">
        <v>27</v>
      </c>
      <c r="B21" s="121">
        <f>30904+212442</f>
        <v>243346</v>
      </c>
      <c r="C21" s="141">
        <f>B21/B5</f>
        <v>0.20564213202044709</v>
      </c>
      <c r="D21" s="122">
        <v>278295</v>
      </c>
      <c r="E21" s="123"/>
      <c r="F21" s="123"/>
      <c r="G21" s="121"/>
      <c r="H21" s="90">
        <v>10419</v>
      </c>
      <c r="I21" s="90">
        <v>21500</v>
      </c>
      <c r="J21" s="90">
        <f>'[1]mrt 22'!D26</f>
        <v>29256.19</v>
      </c>
      <c r="K21" s="90">
        <v>23756</v>
      </c>
      <c r="L21" s="90">
        <v>20441</v>
      </c>
      <c r="M21" s="138">
        <v>27863</v>
      </c>
      <c r="N21" s="138">
        <v>8984</v>
      </c>
      <c r="O21" s="90">
        <v>21952</v>
      </c>
      <c r="P21" s="90">
        <f>'[1]sept 22'!D26</f>
        <v>22338.3</v>
      </c>
      <c r="Q21" s="108">
        <f>'[1]okt 22'!D26</f>
        <v>28116.52</v>
      </c>
      <c r="R21" s="108">
        <f>'[1]nov 22'!D26</f>
        <v>37149.08</v>
      </c>
      <c r="S21" s="108">
        <f>'[1]dec 22'!D26</f>
        <v>15068.81</v>
      </c>
      <c r="T21" s="108">
        <f>'[1]Totaal 22'!D26</f>
        <v>260477.52</v>
      </c>
    </row>
    <row r="22" spans="1:26" x14ac:dyDescent="0.2">
      <c r="A22" s="88" t="s">
        <v>28</v>
      </c>
      <c r="B22" s="121">
        <f>96027+559076</f>
        <v>655103</v>
      </c>
      <c r="C22" s="141">
        <f>B22/B5</f>
        <v>0.55360177530344012</v>
      </c>
      <c r="D22" s="122">
        <v>856226</v>
      </c>
      <c r="E22" s="123"/>
      <c r="F22" s="123"/>
      <c r="G22" s="121"/>
      <c r="H22" s="90">
        <v>37954</v>
      </c>
      <c r="I22" s="90">
        <v>63088</v>
      </c>
      <c r="J22" s="90">
        <f>'[1]mrt 22'!F26</f>
        <v>88413.46</v>
      </c>
      <c r="K22" s="90">
        <v>73649</v>
      </c>
      <c r="L22" s="90">
        <v>59656</v>
      </c>
      <c r="M22" s="138">
        <v>95005</v>
      </c>
      <c r="N22" s="138">
        <v>45260</v>
      </c>
      <c r="O22" s="90">
        <v>45992</v>
      </c>
      <c r="P22" s="90">
        <f>'[1]sept 22'!F26</f>
        <v>88124.76</v>
      </c>
      <c r="Q22" s="108">
        <f>'[1]okt 22'!F26</f>
        <v>80704.350000000006</v>
      </c>
      <c r="R22" s="108">
        <f>'[1]nov 22'!F26</f>
        <v>114042.54</v>
      </c>
      <c r="S22" s="108">
        <f>'[1]dec 22'!F26</f>
        <v>55028.47</v>
      </c>
      <c r="T22" s="108">
        <f>'[1]Totaal 22'!F26</f>
        <v>858855.91</v>
      </c>
    </row>
    <row r="23" spans="1:26" x14ac:dyDescent="0.2">
      <c r="A23" s="142" t="s">
        <v>29</v>
      </c>
      <c r="B23" s="121">
        <f>0.576*B22</f>
        <v>377339.32799999998</v>
      </c>
      <c r="C23" s="121"/>
      <c r="D23" s="122">
        <f>0.576*D22</f>
        <v>493186.17599999998</v>
      </c>
      <c r="E23" s="123"/>
      <c r="F23" s="123"/>
      <c r="G23" s="121"/>
      <c r="H23" s="90">
        <f>H22*0.567</f>
        <v>21519.917999999998</v>
      </c>
      <c r="I23" s="90">
        <f>I22*0.567</f>
        <v>35770.895999999993</v>
      </c>
      <c r="J23" s="90">
        <f>J22*$U23</f>
        <v>50130.431819999998</v>
      </c>
      <c r="K23" s="90">
        <f>K22*$U23</f>
        <v>41758.982999999993</v>
      </c>
      <c r="L23" s="90">
        <f>L22*$U23</f>
        <v>33824.951999999997</v>
      </c>
      <c r="M23" s="138">
        <f>M22*$U23</f>
        <v>53867.834999999992</v>
      </c>
      <c r="N23" s="138">
        <f t="shared" ref="N23:S23" si="7">N22*$U23</f>
        <v>25662.42</v>
      </c>
      <c r="O23" s="90">
        <f t="shared" si="7"/>
        <v>26077.463999999996</v>
      </c>
      <c r="P23" s="90">
        <f t="shared" si="7"/>
        <v>49966.738919999989</v>
      </c>
      <c r="Q23" s="108">
        <f>Q22*$U23</f>
        <v>45759.366450000001</v>
      </c>
      <c r="R23" s="108">
        <f t="shared" si="7"/>
        <v>64662.120179999991</v>
      </c>
      <c r="S23" s="108">
        <f t="shared" si="7"/>
        <v>31201.142489999998</v>
      </c>
      <c r="T23" s="108">
        <f>T22*$U23</f>
        <v>486971.30096999998</v>
      </c>
      <c r="U23">
        <v>0.56699999999999995</v>
      </c>
    </row>
    <row r="24" spans="1:26" x14ac:dyDescent="0.2">
      <c r="A24" s="142" t="s">
        <v>30</v>
      </c>
      <c r="B24" s="121">
        <f>0.433*B22</f>
        <v>283659.59899999999</v>
      </c>
      <c r="C24" s="121"/>
      <c r="D24" s="122">
        <f>0.433*D22</f>
        <v>370745.85800000001</v>
      </c>
      <c r="E24" s="123"/>
      <c r="F24" s="123"/>
      <c r="G24" s="121"/>
      <c r="H24" s="90">
        <f>H22*0.433</f>
        <v>16434.081999999999</v>
      </c>
      <c r="I24" s="90">
        <f>I22*0.433</f>
        <v>27317.103999999999</v>
      </c>
      <c r="J24" s="90">
        <f>J22*$U24</f>
        <v>38283.028180000001</v>
      </c>
      <c r="K24" s="90">
        <f>K22*$U24</f>
        <v>31890.017</v>
      </c>
      <c r="L24" s="90">
        <f t="shared" ref="L24:S24" si="8">L22*$U24</f>
        <v>25831.047999999999</v>
      </c>
      <c r="M24" s="138">
        <f t="shared" si="8"/>
        <v>41137.165000000001</v>
      </c>
      <c r="N24" s="138">
        <f t="shared" si="8"/>
        <v>19597.579999999998</v>
      </c>
      <c r="O24" s="90">
        <f t="shared" si="8"/>
        <v>19914.536</v>
      </c>
      <c r="P24" s="90">
        <f t="shared" si="8"/>
        <v>38158.021079999999</v>
      </c>
      <c r="Q24" s="108">
        <f t="shared" si="8"/>
        <v>34944.983550000004</v>
      </c>
      <c r="R24" s="108">
        <f t="shared" si="8"/>
        <v>49380.419819999996</v>
      </c>
      <c r="S24" s="108">
        <f t="shared" si="8"/>
        <v>23827.327509999999</v>
      </c>
      <c r="T24" s="108">
        <f>T22*$U24</f>
        <v>371884.60902999999</v>
      </c>
      <c r="U24">
        <v>0.433</v>
      </c>
    </row>
    <row r="25" spans="1:26" x14ac:dyDescent="0.2">
      <c r="A25" s="88" t="s">
        <v>31</v>
      </c>
      <c r="B25" s="121">
        <f>0.887*(46638+238258)</f>
        <v>252702.75200000001</v>
      </c>
      <c r="C25" s="141">
        <f>B25/B5</f>
        <v>0.21354915506609642</v>
      </c>
      <c r="D25" s="122">
        <v>363102</v>
      </c>
      <c r="E25" s="123"/>
      <c r="F25" s="123"/>
      <c r="G25" s="121"/>
      <c r="H25" s="90">
        <v>20171</v>
      </c>
      <c r="I25" s="90">
        <v>25464</v>
      </c>
      <c r="J25" s="90">
        <f>'[1]mrt 22'!E26</f>
        <v>32538.22</v>
      </c>
      <c r="K25" s="90">
        <f>'[1]april 22'!E26</f>
        <v>38277.9</v>
      </c>
      <c r="L25" s="90">
        <f>'[1]mei 22'!E26</f>
        <v>37193.67</v>
      </c>
      <c r="M25" s="138">
        <v>43505</v>
      </c>
      <c r="N25" s="138">
        <v>24822</v>
      </c>
      <c r="O25" s="90">
        <v>-15285</v>
      </c>
      <c r="P25" s="90">
        <f>'[1]sept 22'!E26</f>
        <v>40362.58</v>
      </c>
      <c r="Q25" s="108">
        <f>'[1]okt 22'!E26</f>
        <v>35794.51</v>
      </c>
      <c r="R25" s="108">
        <f>'[1]nov 22'!E26</f>
        <v>55848.959999999999</v>
      </c>
      <c r="S25" s="108">
        <f>'[1]dec 22'!E26</f>
        <v>25389.88</v>
      </c>
      <c r="T25" s="108">
        <f>'[1]Totaal 22'!E26</f>
        <v>359422.83</v>
      </c>
    </row>
    <row r="26" spans="1:26" x14ac:dyDescent="0.2">
      <c r="A26" s="88" t="s">
        <v>32</v>
      </c>
      <c r="B26" s="121">
        <f>46638+238258-252703</f>
        <v>32193</v>
      </c>
      <c r="C26" s="121"/>
      <c r="D26" s="122">
        <v>68695</v>
      </c>
      <c r="E26" s="123"/>
      <c r="F26" s="123"/>
      <c r="G26" s="121"/>
      <c r="H26" s="90">
        <f>'[1]jan 22'!H26</f>
        <v>1758.87</v>
      </c>
      <c r="I26" s="90">
        <f>'[1]feb 22'!H26</f>
        <v>2801.59</v>
      </c>
      <c r="J26" s="90">
        <f>'[1]mrt 22'!H26</f>
        <v>2341.94</v>
      </c>
      <c r="K26" s="90">
        <f>'[1]april 22'!H26</f>
        <v>2823.77</v>
      </c>
      <c r="L26" s="90">
        <f>'[1]mei 22'!H26</f>
        <v>3498.06</v>
      </c>
      <c r="M26" s="138">
        <v>7021</v>
      </c>
      <c r="N26" s="138">
        <v>3680</v>
      </c>
      <c r="O26" s="90">
        <v>2250</v>
      </c>
      <c r="P26" s="90">
        <v>5363</v>
      </c>
      <c r="Q26" s="108">
        <f>'[1]okt 22'!H26</f>
        <v>25394.82</v>
      </c>
      <c r="R26" s="108">
        <f>'[1]nov 22'!H26</f>
        <v>8348.69</v>
      </c>
      <c r="S26" s="108">
        <f>'[1]dec 22'!H26</f>
        <v>4421.09</v>
      </c>
      <c r="T26" s="108">
        <f>'[1]Totaal 22'!H26</f>
        <v>69177.490000000005</v>
      </c>
    </row>
    <row r="27" spans="1:26" x14ac:dyDescent="0.2">
      <c r="A27" s="88" t="s">
        <v>33</v>
      </c>
      <c r="B27" s="121">
        <v>512000</v>
      </c>
      <c r="C27" s="121"/>
      <c r="D27" s="122">
        <v>540000</v>
      </c>
      <c r="E27" s="123"/>
      <c r="F27" s="123"/>
      <c r="G27" s="121"/>
      <c r="H27" s="90">
        <v>35338</v>
      </c>
      <c r="I27" s="90">
        <v>37199</v>
      </c>
      <c r="J27" s="90">
        <v>35914</v>
      </c>
      <c r="K27" s="90">
        <v>46888</v>
      </c>
      <c r="L27" s="90">
        <v>52645</v>
      </c>
      <c r="M27" s="90">
        <v>50381</v>
      </c>
      <c r="N27" s="90">
        <v>50766</v>
      </c>
      <c r="O27" s="143">
        <v>47899</v>
      </c>
      <c r="P27" s="90">
        <v>45895</v>
      </c>
      <c r="Q27" s="108">
        <v>48069</v>
      </c>
      <c r="R27" s="108">
        <v>54003</v>
      </c>
      <c r="S27" s="108">
        <v>57142</v>
      </c>
      <c r="T27" s="108">
        <f>SUM(H27:S27)</f>
        <v>562139</v>
      </c>
    </row>
    <row r="28" spans="1:26" x14ac:dyDescent="0.2">
      <c r="A28" s="88" t="s">
        <v>34</v>
      </c>
      <c r="B28" s="102">
        <f>B27/B5</f>
        <v>0.43267105929199129</v>
      </c>
      <c r="C28" s="102"/>
      <c r="D28" s="103">
        <f>D27/D5</f>
        <v>0.3459744273642707</v>
      </c>
      <c r="E28" s="104"/>
      <c r="F28" s="104"/>
      <c r="G28" s="102"/>
      <c r="H28" s="99">
        <f t="shared" ref="H28:T28" si="9">H27/H5</f>
        <v>0.51554453278867896</v>
      </c>
      <c r="I28" s="99">
        <f t="shared" si="9"/>
        <v>0.33800986797270405</v>
      </c>
      <c r="J28" s="99">
        <f t="shared" si="9"/>
        <v>0.23542472878696283</v>
      </c>
      <c r="K28" s="99">
        <f t="shared" si="9"/>
        <v>0.32632337987171861</v>
      </c>
      <c r="L28" s="99">
        <f t="shared" si="9"/>
        <v>0.4344501785211034</v>
      </c>
      <c r="M28" s="99">
        <f t="shared" si="9"/>
        <v>0.29055575846379678</v>
      </c>
      <c r="N28" s="99">
        <f t="shared" si="9"/>
        <v>0.61350612599752452</v>
      </c>
      <c r="O28" s="99">
        <f t="shared" si="9"/>
        <v>0.87389137540603035</v>
      </c>
      <c r="P28" s="99">
        <f t="shared" si="9"/>
        <v>0.29483813871210951</v>
      </c>
      <c r="Q28" s="144">
        <f t="shared" si="9"/>
        <v>0.28274185901787069</v>
      </c>
      <c r="R28" s="144">
        <f t="shared" si="9"/>
        <v>0.25072281926790685</v>
      </c>
      <c r="S28" s="144">
        <f t="shared" si="9"/>
        <v>0.5719447593166731</v>
      </c>
      <c r="T28" s="144">
        <f t="shared" si="9"/>
        <v>0.36315443086630805</v>
      </c>
    </row>
    <row r="29" spans="1:26" x14ac:dyDescent="0.2">
      <c r="A29" s="88" t="s">
        <v>35</v>
      </c>
      <c r="B29" s="145">
        <v>10.199999999999999</v>
      </c>
      <c r="C29" s="145"/>
      <c r="D29" s="146">
        <v>12.5</v>
      </c>
      <c r="E29" s="147"/>
      <c r="F29" s="147"/>
      <c r="G29" s="145"/>
      <c r="H29" s="89">
        <v>9.1999999999999993</v>
      </c>
      <c r="I29" s="89">
        <v>9.35</v>
      </c>
      <c r="J29" s="89">
        <v>9.85</v>
      </c>
      <c r="K29" s="89">
        <v>10.55</v>
      </c>
      <c r="L29" s="89">
        <v>10.4</v>
      </c>
      <c r="M29" s="89">
        <v>10.4</v>
      </c>
      <c r="N29" s="89">
        <v>10.4</v>
      </c>
      <c r="O29" s="89">
        <v>10.5</v>
      </c>
      <c r="P29" s="89">
        <v>10.5</v>
      </c>
      <c r="Q29" s="89">
        <v>10.5</v>
      </c>
      <c r="R29" s="89">
        <v>11</v>
      </c>
      <c r="S29" s="89">
        <v>11</v>
      </c>
      <c r="T29" s="89">
        <v>11</v>
      </c>
    </row>
    <row r="30" spans="1:26" x14ac:dyDescent="0.2">
      <c r="A30" s="88" t="s">
        <v>36</v>
      </c>
      <c r="B30" s="121">
        <f>B27/B29</f>
        <v>50196.078431372553</v>
      </c>
      <c r="C30" s="121"/>
      <c r="D30" s="122">
        <f>D27/D29</f>
        <v>43200</v>
      </c>
      <c r="E30" s="123"/>
      <c r="F30" s="123"/>
      <c r="G30" s="121"/>
      <c r="H30" s="129">
        <f>H27/H29</f>
        <v>3841.0869565217395</v>
      </c>
      <c r="I30" s="129">
        <f>I27/I29</f>
        <v>3978.5026737967914</v>
      </c>
      <c r="J30" s="129">
        <f>J27/J29</f>
        <v>3646.0913705583757</v>
      </c>
      <c r="K30" s="129">
        <f>K27/K29</f>
        <v>4444.3601895734591</v>
      </c>
      <c r="L30" s="129">
        <f t="shared" ref="L30:S30" si="10">L27/L29</f>
        <v>5062.0192307692305</v>
      </c>
      <c r="M30" s="129">
        <f t="shared" si="10"/>
        <v>4844.3269230769229</v>
      </c>
      <c r="N30" s="129">
        <f t="shared" si="10"/>
        <v>4881.3461538461534</v>
      </c>
      <c r="O30" s="129">
        <f t="shared" si="10"/>
        <v>4561.8095238095239</v>
      </c>
      <c r="P30" s="129">
        <f t="shared" si="10"/>
        <v>4370.9523809523807</v>
      </c>
      <c r="Q30" s="129">
        <f t="shared" si="10"/>
        <v>4578</v>
      </c>
      <c r="R30" s="129">
        <f t="shared" si="10"/>
        <v>4909.363636363636</v>
      </c>
      <c r="S30" s="129">
        <f t="shared" si="10"/>
        <v>5194.727272727273</v>
      </c>
      <c r="T30" s="129">
        <f>T27/T29</f>
        <v>51103.545454545456</v>
      </c>
    </row>
    <row r="31" spans="1:26" x14ac:dyDescent="0.2">
      <c r="A31" s="88" t="s">
        <v>37</v>
      </c>
      <c r="B31" s="121">
        <f>B5/B29</f>
        <v>116014.41176470589</v>
      </c>
      <c r="C31" s="121"/>
      <c r="D31" s="122">
        <f>D5/D29</f>
        <v>124864.72</v>
      </c>
      <c r="E31" s="123"/>
      <c r="F31" s="123"/>
      <c r="G31" s="121"/>
      <c r="H31" s="129">
        <f t="shared" ref="H31:T31" si="11">H5/H29</f>
        <v>7450.54347826087</v>
      </c>
      <c r="I31" s="129">
        <f t="shared" si="11"/>
        <v>11770.374331550802</v>
      </c>
      <c r="J31" s="129">
        <f t="shared" si="11"/>
        <v>15487.291370558376</v>
      </c>
      <c r="K31" s="129">
        <f t="shared" si="11"/>
        <v>13619.496682464454</v>
      </c>
      <c r="L31" s="129">
        <f t="shared" si="11"/>
        <v>11651.552884615383</v>
      </c>
      <c r="M31" s="129">
        <f t="shared" si="11"/>
        <v>16672.624038461538</v>
      </c>
      <c r="N31" s="129">
        <f t="shared" si="11"/>
        <v>7956.4749999999995</v>
      </c>
      <c r="O31" s="129">
        <f t="shared" si="11"/>
        <v>5220.1104761904762</v>
      </c>
      <c r="P31" s="129">
        <f t="shared" si="11"/>
        <v>14824.921904761904</v>
      </c>
      <c r="Q31" s="129">
        <f t="shared" si="11"/>
        <v>16191.44761904762</v>
      </c>
      <c r="R31" s="129">
        <f t="shared" si="11"/>
        <v>19580.840909090908</v>
      </c>
      <c r="S31" s="129">
        <f t="shared" si="11"/>
        <v>9082.568181818182</v>
      </c>
      <c r="T31" s="129">
        <f t="shared" si="11"/>
        <v>140721.25</v>
      </c>
    </row>
    <row r="33" spans="1:23" x14ac:dyDescent="0.2">
      <c r="H33" s="149">
        <v>38426.69</v>
      </c>
      <c r="I33" s="149">
        <v>38923.19</v>
      </c>
      <c r="J33" s="149">
        <v>37646.07</v>
      </c>
      <c r="K33" s="149">
        <v>42934.84</v>
      </c>
      <c r="L33" s="149">
        <v>50026.18</v>
      </c>
      <c r="M33" s="149">
        <v>47225.5</v>
      </c>
      <c r="N33" s="149">
        <v>46898.450000000004</v>
      </c>
      <c r="O33" s="149">
        <v>47410.75</v>
      </c>
      <c r="P33" s="149">
        <v>46067.06</v>
      </c>
      <c r="Q33" s="149">
        <v>48155.799999999996</v>
      </c>
      <c r="R33" s="149">
        <v>50433.040000000008</v>
      </c>
      <c r="S33" s="149">
        <v>58119.61</v>
      </c>
      <c r="T33" s="149">
        <f>SUM(H33:S33)</f>
        <v>552267.17999999993</v>
      </c>
    </row>
    <row r="35" spans="1:23" ht="27" x14ac:dyDescent="0.2">
      <c r="A35" s="85">
        <v>2023</v>
      </c>
      <c r="B35" s="91" t="s">
        <v>38</v>
      </c>
      <c r="C35" s="91"/>
      <c r="D35" s="92" t="s">
        <v>39</v>
      </c>
      <c r="E35" s="93"/>
      <c r="F35" s="112">
        <f>E23/38*24</f>
        <v>0</v>
      </c>
      <c r="G35" s="91"/>
      <c r="H35" s="86" t="s">
        <v>0</v>
      </c>
      <c r="I35" s="86" t="s">
        <v>1</v>
      </c>
      <c r="J35" s="86" t="s">
        <v>2</v>
      </c>
      <c r="K35" s="86" t="s">
        <v>3</v>
      </c>
      <c r="L35" s="86" t="s">
        <v>4</v>
      </c>
      <c r="M35" s="86" t="s">
        <v>5</v>
      </c>
      <c r="N35" s="86" t="s">
        <v>6</v>
      </c>
      <c r="O35" s="86" t="s">
        <v>7</v>
      </c>
      <c r="P35" s="86" t="s">
        <v>8</v>
      </c>
      <c r="Q35" s="113" t="s">
        <v>9</v>
      </c>
      <c r="R35" s="113" t="s">
        <v>10</v>
      </c>
      <c r="S35" s="113" t="s">
        <v>11</v>
      </c>
      <c r="T35" s="87" t="s">
        <v>40</v>
      </c>
      <c r="U35" t="s">
        <v>41</v>
      </c>
      <c r="V35" s="87"/>
    </row>
    <row r="36" spans="1:23" x14ac:dyDescent="0.2">
      <c r="A36" s="88" t="s">
        <v>43</v>
      </c>
      <c r="B36" s="91">
        <f>2736+515</f>
        <v>3251</v>
      </c>
      <c r="C36" s="91"/>
      <c r="D36" s="92">
        <v>3925</v>
      </c>
      <c r="E36" s="93"/>
      <c r="F36" s="93"/>
      <c r="G36" s="91"/>
      <c r="H36" s="95">
        <f>'[1]jan 23'!B11</f>
        <v>298</v>
      </c>
      <c r="I36" s="95">
        <f>'[1]feb 23'!B11</f>
        <v>298</v>
      </c>
      <c r="J36" s="95">
        <f>'[1]mrt 23'!B11</f>
        <v>395</v>
      </c>
      <c r="K36" s="95">
        <f>'[1]apr 23'!B11</f>
        <v>246</v>
      </c>
      <c r="L36" s="95">
        <f>'[1]mei 23'!B11</f>
        <v>236</v>
      </c>
      <c r="M36" s="95">
        <f>'[1]juni 23'!B11</f>
        <v>385</v>
      </c>
      <c r="N36" s="150">
        <f>'[1]juli 23'!B11</f>
        <v>324</v>
      </c>
      <c r="O36" s="150">
        <f>'[1]aug 23'!B11</f>
        <v>253</v>
      </c>
      <c r="P36" s="150">
        <f>'[1]Sept 23'!B11</f>
        <v>386</v>
      </c>
      <c r="Q36" s="150">
        <f>'[1]okt 23'!B11</f>
        <v>561</v>
      </c>
      <c r="R36" s="151">
        <f>'[1]nov 23'!B11</f>
        <v>605</v>
      </c>
      <c r="S36" s="151">
        <f>'[1]dec 23'!B11</f>
        <v>291</v>
      </c>
      <c r="T36" s="151">
        <f>'[1]Totaal 23'!B11</f>
        <v>4140</v>
      </c>
      <c r="U36" s="9">
        <f>SUM(H36:S36)</f>
        <v>4278</v>
      </c>
      <c r="V36" s="8"/>
    </row>
    <row r="37" spans="1:23" x14ac:dyDescent="0.2">
      <c r="A37" s="88" t="s">
        <v>12</v>
      </c>
      <c r="B37" s="91">
        <f>10475+1910</f>
        <v>12385</v>
      </c>
      <c r="C37" s="91"/>
      <c r="D37" s="92">
        <v>18408</v>
      </c>
      <c r="E37" s="93"/>
      <c r="F37" s="93"/>
      <c r="G37" s="91"/>
      <c r="H37" s="95">
        <f>'[1]jan 23'!C11</f>
        <v>1505</v>
      </c>
      <c r="I37" s="95">
        <f>'[1]feb 23'!C11</f>
        <v>1040</v>
      </c>
      <c r="J37" s="95">
        <f>'[1]mrt 23'!C11</f>
        <v>1840</v>
      </c>
      <c r="K37" s="95">
        <f>'[1]apr 23'!C11</f>
        <v>1034</v>
      </c>
      <c r="L37" s="95">
        <f>'[1]mei 23'!C11</f>
        <v>1240</v>
      </c>
      <c r="M37" s="95">
        <f>'[1]juni 23'!C11</f>
        <v>1697</v>
      </c>
      <c r="N37" s="150">
        <f>'[1]juli 23'!C11</f>
        <v>872</v>
      </c>
      <c r="O37" s="150">
        <f>'[1]aug 23'!C11</f>
        <v>1190</v>
      </c>
      <c r="P37" s="150">
        <f>'[1]Sept 23'!C11</f>
        <v>1971</v>
      </c>
      <c r="Q37" s="151">
        <f>'[1]okt 23'!C11</f>
        <v>2108</v>
      </c>
      <c r="R37" s="151">
        <f>'[1]nov 23'!C11</f>
        <v>2643</v>
      </c>
      <c r="S37" s="151">
        <f>'[1]dec 23'!C11</f>
        <v>1190</v>
      </c>
      <c r="T37" s="151">
        <f>'[1]Totaal 23'!C11</f>
        <v>17561</v>
      </c>
      <c r="U37" s="9">
        <f>SUM(H37:S37)</f>
        <v>18330</v>
      </c>
      <c r="V37" s="8"/>
    </row>
    <row r="38" spans="1:23" x14ac:dyDescent="0.2">
      <c r="A38" s="88" t="s">
        <v>13</v>
      </c>
      <c r="B38" s="115">
        <f>B37/B36</f>
        <v>3.8095970470624425</v>
      </c>
      <c r="C38" s="115"/>
      <c r="D38" s="116">
        <v>4.6500000000000004</v>
      </c>
      <c r="E38" s="117"/>
      <c r="F38" s="117"/>
      <c r="G38" s="115"/>
      <c r="H38" s="119">
        <f>'[1]jan 23'!D11</f>
        <v>5.05</v>
      </c>
      <c r="I38" s="119">
        <f>'[1]feb 23'!D11</f>
        <v>3.49</v>
      </c>
      <c r="J38" s="118">
        <f>'[1]mrt 23'!D11</f>
        <v>4.66</v>
      </c>
      <c r="K38" s="118">
        <f>'[1]apr 23'!D11</f>
        <v>4.2</v>
      </c>
      <c r="L38" s="118">
        <f>'[1]mei 23'!D11</f>
        <v>5.25</v>
      </c>
      <c r="M38" s="118">
        <f>'[1]juni 23'!D11</f>
        <v>4.41</v>
      </c>
      <c r="N38" s="152"/>
      <c r="O38" s="152"/>
      <c r="P38" s="153">
        <f>'[1]Sept 23'!D11</f>
        <v>5.1100000000000003</v>
      </c>
      <c r="Q38" s="154">
        <f>'[1]okt 23'!D11</f>
        <v>3.76</v>
      </c>
      <c r="R38" s="154">
        <f>'[1]nov 23'!D11</f>
        <v>4.37</v>
      </c>
      <c r="S38" s="154">
        <f>'[1]dec 23'!D11</f>
        <v>4.09</v>
      </c>
      <c r="T38" s="154">
        <f>T37/T36</f>
        <v>4.2417874396135264</v>
      </c>
      <c r="U38" s="154">
        <f>U37/U36</f>
        <v>4.2847124824684428</v>
      </c>
      <c r="V38" s="8"/>
    </row>
    <row r="39" spans="1:23" x14ac:dyDescent="0.2">
      <c r="A39" s="88" t="s">
        <v>14</v>
      </c>
      <c r="B39" s="121">
        <f>173570+1009777</f>
        <v>1183347</v>
      </c>
      <c r="C39" s="121"/>
      <c r="D39" s="122">
        <v>1560809</v>
      </c>
      <c r="E39" s="123"/>
      <c r="F39" s="123"/>
      <c r="G39" s="121"/>
      <c r="H39" s="90">
        <f>'[1]jan 23'!E11</f>
        <v>96044.31</v>
      </c>
      <c r="I39" s="90">
        <f>'[1]feb 23'!E11</f>
        <v>107389.09</v>
      </c>
      <c r="J39" s="90">
        <f>'[1]mrt 23'!E11</f>
        <v>167507.82</v>
      </c>
      <c r="K39" s="90">
        <f>'[1]apr 23'!E11</f>
        <v>234049.09</v>
      </c>
      <c r="L39" s="90">
        <f>'[1]mei 23'!E11</f>
        <v>137194.29999999999</v>
      </c>
      <c r="M39" s="90">
        <f>'[1]juni 23'!E11</f>
        <v>205119.86</v>
      </c>
      <c r="N39" s="143">
        <f>'[1]juli 23'!E11</f>
        <v>106382.15</v>
      </c>
      <c r="O39" s="143">
        <f>'[1]aug 23'!E11</f>
        <v>102851.69</v>
      </c>
      <c r="P39" s="143">
        <f>'[1]Sept 23'!E11</f>
        <v>186537.41</v>
      </c>
      <c r="Q39" s="155">
        <f>'[1]okt 23'!E11</f>
        <v>276441.63</v>
      </c>
      <c r="R39" s="155">
        <f>'[1]nov 23'!E11</f>
        <v>261908.98</v>
      </c>
      <c r="S39" s="155">
        <f>'[1]dec 23'!E11</f>
        <v>97056.07</v>
      </c>
      <c r="T39" s="155">
        <f>'[1]Totaal 23'!E11</f>
        <v>1899372.8</v>
      </c>
      <c r="U39" s="9">
        <f>SUM(H39:S39)</f>
        <v>1978482.3999999997</v>
      </c>
      <c r="V39" s="8"/>
      <c r="W39" s="35">
        <f>T55+T56+T59+T60</f>
        <v>1930646.72</v>
      </c>
    </row>
    <row r="40" spans="1:23" x14ac:dyDescent="0.2">
      <c r="A40" s="88" t="s">
        <v>15</v>
      </c>
      <c r="B40" s="126">
        <f>B39/B36</f>
        <v>363.99477083974159</v>
      </c>
      <c r="C40" s="126"/>
      <c r="D40" s="127">
        <v>396</v>
      </c>
      <c r="E40" s="128"/>
      <c r="F40" s="128"/>
      <c r="G40" s="126"/>
      <c r="H40" s="90">
        <f>'[1]jan 23'!F11</f>
        <v>322.3</v>
      </c>
      <c r="I40" s="90">
        <f>'[1]feb 23'!F11</f>
        <v>360.37</v>
      </c>
      <c r="J40" s="129">
        <f>'[1]mrt 23'!F11</f>
        <v>424.07</v>
      </c>
      <c r="K40" s="129">
        <f>'[1]apr 23'!F11</f>
        <v>951.42</v>
      </c>
      <c r="L40" s="129">
        <f>'[1]mei 23'!F11</f>
        <v>581.33000000000004</v>
      </c>
      <c r="M40" s="156">
        <f>'[1]juni 23'!F11</f>
        <v>532.78</v>
      </c>
      <c r="N40" s="150">
        <f>'[1]juli 22'!F11</f>
        <v>492.54</v>
      </c>
      <c r="O40" s="150">
        <f>'[1]aug 23'!F11</f>
        <v>406.53</v>
      </c>
      <c r="P40" s="143">
        <f>'[1]Sept 23'!F11</f>
        <v>483.26</v>
      </c>
      <c r="Q40" s="155">
        <f>'[1]okt 23'!F11</f>
        <v>492.77</v>
      </c>
      <c r="R40" s="155">
        <f>'[1]nov 22'!F11</f>
        <v>419.86</v>
      </c>
      <c r="S40" s="155">
        <f>'[1]dec 23'!F11</f>
        <v>333.53</v>
      </c>
      <c r="T40" s="155">
        <f>'[1]Totaal 23'!F11</f>
        <v>458.79</v>
      </c>
      <c r="U40" s="8"/>
      <c r="V40" s="8"/>
    </row>
    <row r="41" spans="1:23" x14ac:dyDescent="0.2">
      <c r="A41" s="88" t="s">
        <v>16</v>
      </c>
      <c r="B41" s="126">
        <f>B39/B37</f>
        <v>95.546790472345577</v>
      </c>
      <c r="C41" s="126"/>
      <c r="D41" s="127">
        <v>85</v>
      </c>
      <c r="E41" s="128"/>
      <c r="F41" s="128"/>
      <c r="G41" s="126"/>
      <c r="H41" s="90">
        <f>'[1]jan 23'!H11</f>
        <v>63.82</v>
      </c>
      <c r="I41" s="90">
        <f>'[1]feb 23'!H11</f>
        <v>103.26</v>
      </c>
      <c r="J41" s="129">
        <f>'[1]mrt 23'!H11</f>
        <v>91.04</v>
      </c>
      <c r="K41" s="129">
        <f>'[1]apr 23'!H11</f>
        <v>226.35</v>
      </c>
      <c r="L41" s="129">
        <f>'[1]mei 23'!H11</f>
        <v>110.64</v>
      </c>
      <c r="M41" s="156">
        <f>'[1]juni 23'!H11</f>
        <v>120.87</v>
      </c>
      <c r="N41" s="157">
        <f>'[1]juli 23'!H11</f>
        <v>122</v>
      </c>
      <c r="O41" s="143">
        <f>'[1]aug 23'!H11</f>
        <v>86.43</v>
      </c>
      <c r="P41" s="143">
        <f>'[1]Sept 23'!H11</f>
        <v>94.64</v>
      </c>
      <c r="Q41" s="158">
        <f>Q39/Q37</f>
        <v>131.13929316888047</v>
      </c>
      <c r="R41" s="158">
        <f>R39/R37</f>
        <v>99.095338630344315</v>
      </c>
      <c r="S41" s="158">
        <f>S39/S37</f>
        <v>81.559722689075642</v>
      </c>
      <c r="T41" s="158">
        <f>T39/T37</f>
        <v>108.15857866864074</v>
      </c>
      <c r="U41" s="8"/>
      <c r="V41" s="8"/>
    </row>
    <row r="42" spans="1:23" x14ac:dyDescent="0.2">
      <c r="B42" s="91"/>
      <c r="C42" s="91"/>
      <c r="D42" s="92"/>
      <c r="E42" s="93"/>
      <c r="F42" s="93"/>
      <c r="G42" s="91"/>
      <c r="I42" s="131"/>
      <c r="N42" s="159"/>
      <c r="O42" s="160">
        <f>'[1]juli 23'!D11</f>
        <v>2.69</v>
      </c>
      <c r="P42" s="153">
        <f>'[1]aug 23'!D11</f>
        <v>4.7</v>
      </c>
      <c r="Q42" s="161"/>
      <c r="R42" s="159"/>
      <c r="S42" s="159"/>
      <c r="T42" s="8"/>
      <c r="U42" s="8"/>
      <c r="V42" s="8"/>
    </row>
    <row r="43" spans="1:23" x14ac:dyDescent="0.2">
      <c r="A43" s="88" t="s">
        <v>17</v>
      </c>
      <c r="B43" s="91"/>
      <c r="C43" s="91"/>
      <c r="D43" s="92"/>
      <c r="E43" s="93"/>
      <c r="F43" s="93"/>
      <c r="G43" s="91"/>
      <c r="H43" s="95">
        <f>1178</f>
        <v>1178</v>
      </c>
      <c r="I43" s="95">
        <f>1064</f>
        <v>1064</v>
      </c>
      <c r="J43" s="95">
        <f>1178</f>
        <v>1178</v>
      </c>
      <c r="K43" s="95">
        <v>1140</v>
      </c>
      <c r="L43" s="95">
        <f>1178</f>
        <v>1178</v>
      </c>
      <c r="M43" s="95">
        <v>1140</v>
      </c>
      <c r="N43" s="150">
        <f>1178</f>
        <v>1178</v>
      </c>
      <c r="O43" s="150">
        <f>1178</f>
        <v>1178</v>
      </c>
      <c r="P43" s="150">
        <f>1140</f>
        <v>1140</v>
      </c>
      <c r="Q43" s="151">
        <f>1178</f>
        <v>1178</v>
      </c>
      <c r="R43" s="150">
        <f>1140</f>
        <v>1140</v>
      </c>
      <c r="S43" s="151">
        <f>1178</f>
        <v>1178</v>
      </c>
      <c r="T43" s="151">
        <v>13920</v>
      </c>
      <c r="U43" s="9">
        <f>SUM(H43:S43)</f>
        <v>13870</v>
      </c>
      <c r="V43" s="8"/>
    </row>
    <row r="44" spans="1:23" x14ac:dyDescent="0.2">
      <c r="A44" s="88" t="s">
        <v>18</v>
      </c>
      <c r="B44" s="91">
        <v>13870</v>
      </c>
      <c r="C44" s="91"/>
      <c r="D44" s="92">
        <v>14600</v>
      </c>
      <c r="E44" s="93"/>
      <c r="F44" s="93"/>
      <c r="G44" s="94"/>
      <c r="H44" s="95">
        <f>1178*221/365</f>
        <v>713.25479452054799</v>
      </c>
      <c r="I44" s="95">
        <f>1064*221/365</f>
        <v>644.23013698630132</v>
      </c>
      <c r="J44" s="95">
        <v>713</v>
      </c>
      <c r="K44" s="95">
        <v>690</v>
      </c>
      <c r="L44" s="95">
        <v>713</v>
      </c>
      <c r="M44" s="95">
        <v>690</v>
      </c>
      <c r="N44" s="150">
        <f>1178*221/365</f>
        <v>713.25479452054799</v>
      </c>
      <c r="O44" s="150">
        <f>1178*221/365</f>
        <v>713.25479452054799</v>
      </c>
      <c r="P44" s="150">
        <f>1140*221/365</f>
        <v>690.2465753424658</v>
      </c>
      <c r="Q44" s="151">
        <f>1178*221/365</f>
        <v>713.25479452054799</v>
      </c>
      <c r="R44" s="150">
        <f>1140*221/365</f>
        <v>690.2465753424658</v>
      </c>
      <c r="S44" s="151">
        <f>1178*221/365</f>
        <v>713.25479452054799</v>
      </c>
      <c r="T44" s="151">
        <v>8398</v>
      </c>
      <c r="U44" s="8">
        <f>221*38</f>
        <v>8398</v>
      </c>
      <c r="V44" s="8"/>
    </row>
    <row r="45" spans="1:23" s="184" customFormat="1" x14ac:dyDescent="0.2">
      <c r="A45" s="180" t="s">
        <v>84</v>
      </c>
      <c r="B45" s="181"/>
      <c r="C45" s="181"/>
      <c r="D45" s="181"/>
      <c r="E45" s="181"/>
      <c r="F45" s="181"/>
      <c r="G45" s="181"/>
      <c r="H45" s="182">
        <f t="shared" ref="H45:S45" si="12">H43*185/365</f>
        <v>597.06849315068496</v>
      </c>
      <c r="I45" s="182">
        <f t="shared" si="12"/>
        <v>539.28767123287673</v>
      </c>
      <c r="J45" s="182">
        <f t="shared" si="12"/>
        <v>597.06849315068496</v>
      </c>
      <c r="K45" s="182">
        <f t="shared" si="12"/>
        <v>577.80821917808214</v>
      </c>
      <c r="L45" s="182">
        <f t="shared" si="12"/>
        <v>597.06849315068496</v>
      </c>
      <c r="M45" s="182">
        <f t="shared" si="12"/>
        <v>577.80821917808214</v>
      </c>
      <c r="N45" s="182">
        <f t="shared" si="12"/>
        <v>597.06849315068496</v>
      </c>
      <c r="O45" s="182">
        <f t="shared" si="12"/>
        <v>597.06849315068496</v>
      </c>
      <c r="P45" s="182">
        <f t="shared" si="12"/>
        <v>577.80821917808214</v>
      </c>
      <c r="Q45" s="183">
        <f t="shared" si="12"/>
        <v>597.06849315068496</v>
      </c>
      <c r="R45" s="182">
        <f t="shared" si="12"/>
        <v>577.80821917808214</v>
      </c>
      <c r="S45" s="183">
        <f t="shared" si="12"/>
        <v>597.06849315068496</v>
      </c>
      <c r="T45" s="183">
        <f>SUM(H45:S45)</f>
        <v>7030</v>
      </c>
    </row>
    <row r="46" spans="1:23" x14ac:dyDescent="0.2">
      <c r="A46" s="88" t="s">
        <v>19</v>
      </c>
      <c r="B46" s="134">
        <f>B39/B53</f>
        <v>257.64141084258654</v>
      </c>
      <c r="C46" s="134"/>
      <c r="D46" s="135">
        <v>330</v>
      </c>
      <c r="E46" s="112"/>
      <c r="F46" s="112"/>
      <c r="G46" s="134"/>
      <c r="H46" s="97">
        <f t="shared" ref="H46:T46" si="13">H55/H53</f>
        <v>64.965876777251182</v>
      </c>
      <c r="I46" s="97">
        <f t="shared" si="13"/>
        <v>68.689708029197078</v>
      </c>
      <c r="J46" s="97">
        <f t="shared" si="13"/>
        <v>68.110342105263157</v>
      </c>
      <c r="K46" s="97">
        <f t="shared" si="13"/>
        <v>205.69941860465116</v>
      </c>
      <c r="L46" s="97">
        <f t="shared" si="13"/>
        <v>93.904882154882159</v>
      </c>
      <c r="M46" s="97">
        <f t="shared" si="13"/>
        <v>74.025106837606842</v>
      </c>
      <c r="N46" s="162">
        <f t="shared" si="13"/>
        <v>57.897562500000006</v>
      </c>
      <c r="O46" s="162">
        <f t="shared" si="13"/>
        <v>57.335647382920108</v>
      </c>
      <c r="P46" s="162">
        <f t="shared" si="13"/>
        <v>75.266324200913246</v>
      </c>
      <c r="Q46" s="162">
        <f t="shared" si="13"/>
        <v>96.727667844522969</v>
      </c>
      <c r="R46" s="162">
        <f t="shared" si="13"/>
        <v>80.575750421585155</v>
      </c>
      <c r="S46" s="162">
        <f t="shared" si="13"/>
        <v>70.736188524590162</v>
      </c>
      <c r="T46" s="162">
        <f t="shared" si="13"/>
        <v>79.424670050761421</v>
      </c>
      <c r="U46" s="8"/>
      <c r="V46" s="163"/>
    </row>
    <row r="47" spans="1:23" x14ac:dyDescent="0.2">
      <c r="A47" s="88" t="s">
        <v>20</v>
      </c>
      <c r="B47" s="134"/>
      <c r="C47" s="134"/>
      <c r="D47" s="135"/>
      <c r="E47" s="112"/>
      <c r="F47" s="112"/>
      <c r="G47" s="134"/>
      <c r="H47" s="100">
        <f t="shared" ref="H47:T47" si="14">H53/H43</f>
        <v>0.17911714770797962</v>
      </c>
      <c r="I47" s="100">
        <f t="shared" si="14"/>
        <v>0.38627819548872183</v>
      </c>
      <c r="J47" s="100">
        <f t="shared" si="14"/>
        <v>0.32258064516129031</v>
      </c>
      <c r="K47" s="100">
        <f t="shared" si="14"/>
        <v>0.22631578947368422</v>
      </c>
      <c r="L47" s="100">
        <f t="shared" si="14"/>
        <v>0.25212224108658743</v>
      </c>
      <c r="M47" s="100">
        <f t="shared" si="14"/>
        <v>0.41052631578947368</v>
      </c>
      <c r="N47" s="164">
        <f t="shared" si="14"/>
        <v>0.40747028862478779</v>
      </c>
      <c r="O47" s="164">
        <f t="shared" si="14"/>
        <v>0.30814940577249578</v>
      </c>
      <c r="P47" s="164">
        <f t="shared" si="14"/>
        <v>0.38421052631578945</v>
      </c>
      <c r="Q47" s="164">
        <f t="shared" si="14"/>
        <v>0.48047538200339557</v>
      </c>
      <c r="R47" s="164">
        <f t="shared" si="14"/>
        <v>0.52017543859649118</v>
      </c>
      <c r="S47" s="164">
        <f>S53/S43</f>
        <v>0.2071307300509338</v>
      </c>
      <c r="T47" s="164">
        <f t="shared" si="14"/>
        <v>0.33965517241379312</v>
      </c>
      <c r="U47" s="8"/>
      <c r="V47" s="8"/>
    </row>
    <row r="48" spans="1:23" x14ac:dyDescent="0.2">
      <c r="A48" s="88" t="s">
        <v>21</v>
      </c>
      <c r="B48" s="102">
        <f>B53/B44</f>
        <v>0.33114635904830569</v>
      </c>
      <c r="C48" s="102"/>
      <c r="D48" s="103">
        <v>0.28999999999999998</v>
      </c>
      <c r="E48" s="104"/>
      <c r="F48" s="104"/>
      <c r="G48" s="102"/>
      <c r="H48" s="100">
        <f>H53/H44</f>
        <v>0.29582696340910658</v>
      </c>
      <c r="I48" s="100">
        <f>I53/I44</f>
        <v>0.63797077535467639</v>
      </c>
      <c r="J48" s="100">
        <f t="shared" ref="J48:T48" si="15">J53/J44</f>
        <v>0.53295932678821878</v>
      </c>
      <c r="K48" s="100">
        <f t="shared" si="15"/>
        <v>0.37391304347826088</v>
      </c>
      <c r="L48" s="100">
        <f t="shared" si="15"/>
        <v>0.41654978962131839</v>
      </c>
      <c r="M48" s="100">
        <f t="shared" si="15"/>
        <v>0.67826086956521736</v>
      </c>
      <c r="N48" s="164">
        <f t="shared" si="15"/>
        <v>0.67297129116763588</v>
      </c>
      <c r="O48" s="164">
        <f>O53/O44</f>
        <v>0.50893453894552465</v>
      </c>
      <c r="P48" s="164">
        <f t="shared" si="15"/>
        <v>0.63455584663014997</v>
      </c>
      <c r="Q48" s="164">
        <f t="shared" si="15"/>
        <v>0.79354531416850393</v>
      </c>
      <c r="R48" s="164">
        <f>R53/R44</f>
        <v>0.85911328093990624</v>
      </c>
      <c r="S48" s="164">
        <f>S53/S44</f>
        <v>0.34209373967688156</v>
      </c>
      <c r="T48" s="164">
        <f t="shared" si="15"/>
        <v>0.56299118837818529</v>
      </c>
      <c r="U48" s="165">
        <f>B53/U44</f>
        <v>0.54691593236484881</v>
      </c>
      <c r="V48" s="8"/>
    </row>
    <row r="49" spans="1:24" s="184" customFormat="1" x14ac:dyDescent="0.2">
      <c r="A49" s="180" t="s">
        <v>83</v>
      </c>
      <c r="B49" s="187"/>
      <c r="C49" s="187"/>
      <c r="D49" s="187"/>
      <c r="E49" s="187"/>
      <c r="F49" s="187"/>
      <c r="G49" s="187"/>
      <c r="H49" s="188">
        <f t="shared" ref="H49:S49" si="16">H53/H45</f>
        <v>0.35339329142385167</v>
      </c>
      <c r="I49" s="188">
        <f t="shared" si="16"/>
        <v>0.76211643974801868</v>
      </c>
      <c r="J49" s="188">
        <f t="shared" si="16"/>
        <v>0.63644289450741065</v>
      </c>
      <c r="K49" s="188">
        <f t="shared" si="16"/>
        <v>0.44651493598862024</v>
      </c>
      <c r="L49" s="188">
        <f t="shared" si="16"/>
        <v>0.49743036754921305</v>
      </c>
      <c r="M49" s="188">
        <f t="shared" si="16"/>
        <v>0.80995732574679946</v>
      </c>
      <c r="N49" s="188">
        <f t="shared" si="16"/>
        <v>0.80392786674620287</v>
      </c>
      <c r="O49" s="188">
        <f t="shared" si="16"/>
        <v>0.60797044922681587</v>
      </c>
      <c r="P49" s="188">
        <f t="shared" si="16"/>
        <v>0.75803698435277389</v>
      </c>
      <c r="Q49" s="188">
        <f t="shared" si="16"/>
        <v>0.94796494287156419</v>
      </c>
      <c r="R49" s="188">
        <f t="shared" si="16"/>
        <v>1.0262920815552394</v>
      </c>
      <c r="S49" s="188">
        <f t="shared" si="16"/>
        <v>0.40866333226265311</v>
      </c>
      <c r="T49" s="188">
        <f>AVERAGE(H49:S49)</f>
        <v>0.67155924266493028</v>
      </c>
      <c r="U49" s="190"/>
    </row>
    <row r="50" spans="1:24" x14ac:dyDescent="0.2">
      <c r="A50" s="88" t="s">
        <v>22</v>
      </c>
      <c r="B50" s="126">
        <f>B55/B53</f>
        <v>52.981929022425433</v>
      </c>
      <c r="C50" s="126"/>
      <c r="D50" s="127">
        <v>62</v>
      </c>
      <c r="E50" s="128"/>
      <c r="F50" s="128"/>
      <c r="G50" s="126"/>
      <c r="H50" s="129">
        <f>H55/H53</f>
        <v>64.965876777251182</v>
      </c>
      <c r="I50" s="129">
        <f t="shared" ref="I50:S50" si="17">I55/I53</f>
        <v>68.689708029197078</v>
      </c>
      <c r="J50" s="129">
        <f t="shared" si="17"/>
        <v>68.110342105263157</v>
      </c>
      <c r="K50" s="129">
        <f t="shared" si="17"/>
        <v>205.69941860465116</v>
      </c>
      <c r="L50" s="129">
        <f t="shared" si="17"/>
        <v>93.904882154882159</v>
      </c>
      <c r="M50" s="129">
        <f t="shared" si="17"/>
        <v>74.025106837606842</v>
      </c>
      <c r="N50" s="166">
        <f t="shared" si="17"/>
        <v>57.897562500000006</v>
      </c>
      <c r="O50" s="166">
        <f t="shared" si="17"/>
        <v>57.335647382920108</v>
      </c>
      <c r="P50" s="166">
        <f t="shared" si="17"/>
        <v>75.266324200913246</v>
      </c>
      <c r="Q50" s="166">
        <f t="shared" si="17"/>
        <v>96.727667844522969</v>
      </c>
      <c r="R50" s="166">
        <f>R55/R53</f>
        <v>80.575750421585155</v>
      </c>
      <c r="S50" s="166">
        <f t="shared" si="17"/>
        <v>70.736188524590162</v>
      </c>
      <c r="T50" s="166">
        <f>T55/T53</f>
        <v>79.424670050761421</v>
      </c>
      <c r="U50" s="8"/>
      <c r="V50" s="8"/>
    </row>
    <row r="51" spans="1:24" x14ac:dyDescent="0.2">
      <c r="A51" s="88" t="s">
        <v>23</v>
      </c>
      <c r="B51" s="126">
        <f>B55/B44</f>
        <v>17.544772891131938</v>
      </c>
      <c r="C51" s="126"/>
      <c r="D51" s="127">
        <v>18</v>
      </c>
      <c r="E51" s="128"/>
      <c r="F51" s="128"/>
      <c r="G51" s="126"/>
      <c r="H51" s="129">
        <f>H55/H44</f>
        <v>19.218658052224413</v>
      </c>
      <c r="I51" s="129">
        <f t="shared" ref="I51:S51" si="18">I55/I44</f>
        <v>43.8220262902732</v>
      </c>
      <c r="J51" s="129">
        <f t="shared" si="18"/>
        <v>36.300042075736329</v>
      </c>
      <c r="K51" s="129">
        <f t="shared" si="18"/>
        <v>76.913695652173914</v>
      </c>
      <c r="L51" s="129">
        <f t="shared" si="18"/>
        <v>39.116058906030858</v>
      </c>
      <c r="M51" s="129">
        <f t="shared" si="18"/>
        <v>50.208333333333336</v>
      </c>
      <c r="N51" s="166">
        <f t="shared" si="18"/>
        <v>38.963397391083902</v>
      </c>
      <c r="O51" s="166">
        <f t="shared" si="18"/>
        <v>29.180091265969622</v>
      </c>
      <c r="P51" s="166">
        <f t="shared" si="18"/>
        <v>47.760686076049851</v>
      </c>
      <c r="Q51" s="166">
        <f t="shared" si="18"/>
        <v>76.757787568468686</v>
      </c>
      <c r="R51" s="166">
        <f t="shared" si="18"/>
        <v>69.223697308883061</v>
      </c>
      <c r="S51" s="166">
        <f t="shared" si="18"/>
        <v>24.198407262865967</v>
      </c>
      <c r="T51" s="166">
        <f>T55/T44</f>
        <v>44.715389378423438</v>
      </c>
      <c r="U51" s="167">
        <f>B55/U44</f>
        <v>28.976661109788044</v>
      </c>
      <c r="V51" s="8"/>
    </row>
    <row r="52" spans="1:24" x14ac:dyDescent="0.2">
      <c r="A52" s="88" t="s">
        <v>24</v>
      </c>
      <c r="B52" s="126">
        <f>B39/B44</f>
        <v>85.317015140591209</v>
      </c>
      <c r="C52" s="126"/>
      <c r="D52" s="127">
        <f>D39/D44</f>
        <v>106.90472602739726</v>
      </c>
      <c r="E52" s="128"/>
      <c r="F52" s="128"/>
      <c r="G52" s="126"/>
      <c r="H52" s="129">
        <f>H39/H44</f>
        <v>134.65638189584308</v>
      </c>
      <c r="I52" s="129">
        <f t="shared" ref="I52:T52" si="19">I39/I44</f>
        <v>166.69367642806111</v>
      </c>
      <c r="J52" s="129">
        <f t="shared" si="19"/>
        <v>234.93382889200561</v>
      </c>
      <c r="K52" s="129">
        <f t="shared" si="19"/>
        <v>339.20157971014493</v>
      </c>
      <c r="L52" s="129">
        <f t="shared" si="19"/>
        <v>192.41837307152875</v>
      </c>
      <c r="M52" s="129">
        <f t="shared" si="19"/>
        <v>297.27515942028981</v>
      </c>
      <c r="N52" s="166">
        <f t="shared" si="19"/>
        <v>149.15027675560231</v>
      </c>
      <c r="O52" s="166">
        <f t="shared" si="19"/>
        <v>144.20048878765297</v>
      </c>
      <c r="P52" s="166">
        <f t="shared" si="19"/>
        <v>270.24749801540048</v>
      </c>
      <c r="Q52" s="166">
        <f t="shared" si="19"/>
        <v>387.57766806997057</v>
      </c>
      <c r="R52" s="166">
        <f t="shared" si="19"/>
        <v>379.44263594506629</v>
      </c>
      <c r="S52" s="166">
        <f t="shared" si="19"/>
        <v>136.07489321574261</v>
      </c>
      <c r="T52" s="166">
        <f t="shared" si="19"/>
        <v>226.16965944272445</v>
      </c>
      <c r="U52" s="167">
        <f>B39/U44</f>
        <v>140.90819242676827</v>
      </c>
      <c r="V52" s="8"/>
    </row>
    <row r="53" spans="1:24" x14ac:dyDescent="0.2">
      <c r="A53" s="88" t="s">
        <v>25</v>
      </c>
      <c r="B53" s="91">
        <f>433+4160</f>
        <v>4593</v>
      </c>
      <c r="C53" s="91"/>
      <c r="D53" s="92">
        <v>4300</v>
      </c>
      <c r="E53" s="93"/>
      <c r="F53" s="93"/>
      <c r="G53" s="91">
        <f>1588/3474</f>
        <v>0.45710995970063328</v>
      </c>
      <c r="H53" s="95">
        <f>'[1]jan 23'!E22</f>
        <v>211</v>
      </c>
      <c r="I53" s="95">
        <f>'[1]feb 23'!E22</f>
        <v>411</v>
      </c>
      <c r="J53" s="95">
        <f>'[1]mrt 23'!E22</f>
        <v>380</v>
      </c>
      <c r="K53" s="95">
        <f>'[1]apr 23'!E22</f>
        <v>258</v>
      </c>
      <c r="L53" s="95">
        <f>'[1]mei 23'!E22</f>
        <v>297</v>
      </c>
      <c r="M53" s="95">
        <f>'[1]juni 23'!E22</f>
        <v>468</v>
      </c>
      <c r="N53" s="168">
        <f>'[1]juli 23'!E22</f>
        <v>480</v>
      </c>
      <c r="O53" s="168">
        <f>'[1]aug 23'!E22</f>
        <v>363</v>
      </c>
      <c r="P53" s="150">
        <f>'[1]Sept 23'!E22</f>
        <v>438</v>
      </c>
      <c r="Q53" s="151">
        <f>'[1]okt 23'!E22</f>
        <v>566</v>
      </c>
      <c r="R53" s="151">
        <f>'[1]nov 23'!E22</f>
        <v>593</v>
      </c>
      <c r="S53" s="151">
        <f>'[1]dec 23'!E22</f>
        <v>244</v>
      </c>
      <c r="T53" s="151">
        <f>'[1]Totaal 23'!E22</f>
        <v>4728</v>
      </c>
      <c r="U53" s="9">
        <f t="shared" ref="U53:U56" si="20">SUM(H53:S53)</f>
        <v>4709</v>
      </c>
      <c r="V53" s="8"/>
    </row>
    <row r="54" spans="1:24" x14ac:dyDescent="0.2">
      <c r="A54" s="88" t="s">
        <v>26</v>
      </c>
      <c r="B54" s="91">
        <v>1947</v>
      </c>
      <c r="C54" s="91"/>
      <c r="D54" s="92">
        <v>2766</v>
      </c>
      <c r="E54" s="93"/>
      <c r="F54" s="93"/>
      <c r="G54" s="91"/>
      <c r="H54" s="95">
        <f>'[1]jan 23'!F22</f>
        <v>199</v>
      </c>
      <c r="I54" s="95">
        <f>'[1]feb 23'!F22</f>
        <v>224</v>
      </c>
      <c r="J54" s="95">
        <f>'[1]mrt 23'!F22</f>
        <v>276</v>
      </c>
      <c r="K54" s="95">
        <f>'[1]apr 23'!F22</f>
        <v>153</v>
      </c>
      <c r="L54" s="95">
        <f>'[1]mei 23'!F22</f>
        <v>160</v>
      </c>
      <c r="M54" s="95">
        <f>'[1]juni 23'!F22</f>
        <v>278</v>
      </c>
      <c r="N54" s="168">
        <f>'[1]juli 23'!F22</f>
        <v>281</v>
      </c>
      <c r="O54" s="168">
        <f>'[1]aug 23'!F22</f>
        <v>158</v>
      </c>
      <c r="P54" s="150">
        <f>'[1]Sept 23'!F22</f>
        <v>241</v>
      </c>
      <c r="Q54" s="151">
        <f>'[1]okt 23'!F22</f>
        <v>303</v>
      </c>
      <c r="R54" s="151">
        <f>'[1]nov 22'!F22</f>
        <v>372</v>
      </c>
      <c r="S54" s="151">
        <f>'[1]dec 23'!F22</f>
        <v>138</v>
      </c>
      <c r="T54" s="151">
        <f>'[1]Totaal 23'!F22</f>
        <v>2732</v>
      </c>
      <c r="U54" s="9">
        <f t="shared" si="20"/>
        <v>2783</v>
      </c>
      <c r="V54" s="8"/>
    </row>
    <row r="55" spans="1:24" x14ac:dyDescent="0.2">
      <c r="A55" s="88" t="s">
        <v>27</v>
      </c>
      <c r="B55" s="121">
        <f>30904+212442</f>
        <v>243346</v>
      </c>
      <c r="C55" s="141">
        <f>B55/B39</f>
        <v>0.20564213202044709</v>
      </c>
      <c r="D55" s="122">
        <v>278295</v>
      </c>
      <c r="E55" s="123"/>
      <c r="F55" s="123"/>
      <c r="G55" s="121"/>
      <c r="H55" s="90">
        <f>'[1]jan 23'!D26</f>
        <v>13707.8</v>
      </c>
      <c r="I55" s="90">
        <f>'[1]feb 23'!D26</f>
        <v>28231.47</v>
      </c>
      <c r="J55" s="90">
        <f>'[1]mrt 23'!D26</f>
        <v>25881.93</v>
      </c>
      <c r="K55" s="90">
        <f>'[1]apr 23'!D26</f>
        <v>53070.45</v>
      </c>
      <c r="L55" s="90">
        <f>'[1]mei 23'!D26</f>
        <v>27889.75</v>
      </c>
      <c r="M55" s="90">
        <f>'[1]juni 23'!D26</f>
        <v>34643.75</v>
      </c>
      <c r="N55" s="143">
        <f>'[1]juli 23'!D26</f>
        <v>27790.83</v>
      </c>
      <c r="O55" s="143">
        <f>'[1]aug 23'!D26</f>
        <v>20812.84</v>
      </c>
      <c r="P55" s="143">
        <f>'[1]Sept 23'!D26</f>
        <v>32966.65</v>
      </c>
      <c r="Q55" s="143">
        <f>'[1]okt 23'!D26</f>
        <v>54747.86</v>
      </c>
      <c r="R55" s="143">
        <f>'[1]nov 23'!D26</f>
        <v>47781.42</v>
      </c>
      <c r="S55" s="143">
        <f>'[1]dec 23'!D26</f>
        <v>17259.63</v>
      </c>
      <c r="T55" s="155">
        <f>'[1]Totaal 23'!D26</f>
        <v>375519.84</v>
      </c>
      <c r="U55" s="9">
        <f t="shared" si="20"/>
        <v>384784.38</v>
      </c>
      <c r="V55" s="163"/>
    </row>
    <row r="56" spans="1:24" x14ac:dyDescent="0.2">
      <c r="A56" s="88" t="s">
        <v>28</v>
      </c>
      <c r="B56" s="121">
        <f>96027+559076</f>
        <v>655103</v>
      </c>
      <c r="C56" s="141">
        <f>B56/B39</f>
        <v>0.55360177530344012</v>
      </c>
      <c r="D56" s="122">
        <v>856226</v>
      </c>
      <c r="E56" s="123"/>
      <c r="F56" s="123"/>
      <c r="G56" s="121"/>
      <c r="H56" s="90">
        <f>'[1]jan 23'!F26</f>
        <v>43518.52</v>
      </c>
      <c r="I56" s="90">
        <f>'[1]feb 23'!F26</f>
        <v>52732.4</v>
      </c>
      <c r="J56" s="90">
        <f>'[1]mrt 23'!F26</f>
        <v>78862.44</v>
      </c>
      <c r="K56" s="90">
        <f>'[1]apr 23'!F26</f>
        <v>76785.600000000006</v>
      </c>
      <c r="L56" s="90">
        <f>'[1]mei 23'!F26</f>
        <v>53632.35</v>
      </c>
      <c r="M56" s="90">
        <f>'[1]juni 23'!F26</f>
        <v>91322.41</v>
      </c>
      <c r="N56" s="169">
        <f>'[1]juli 23'!F26</f>
        <v>59091.199999999997</v>
      </c>
      <c r="O56" s="143">
        <f>'[1]aug 23'!F26</f>
        <v>48083.11</v>
      </c>
      <c r="P56" s="143">
        <f>'[1]Sept 23'!F26</f>
        <v>85642.41</v>
      </c>
      <c r="Q56" s="155">
        <f>'[1]okt 23'!F26</f>
        <v>114591.12</v>
      </c>
      <c r="R56" s="155">
        <f>'[1]nov 23'!F26</f>
        <v>107403.68</v>
      </c>
      <c r="S56" s="155">
        <f>'[1]dec 23'!F26</f>
        <v>43115.15</v>
      </c>
      <c r="T56" s="155">
        <f>'[1]Totaal 23'!F26</f>
        <v>829012.33</v>
      </c>
      <c r="U56" s="9">
        <f t="shared" si="20"/>
        <v>854780.39</v>
      </c>
      <c r="V56" s="8"/>
    </row>
    <row r="57" spans="1:24" x14ac:dyDescent="0.2">
      <c r="A57" s="142" t="s">
        <v>44</v>
      </c>
      <c r="B57" s="121">
        <f>0.576*B56</f>
        <v>377339.32799999998</v>
      </c>
      <c r="C57" s="121"/>
      <c r="D57" s="122">
        <f>0.576*D56</f>
        <v>493186.17599999998</v>
      </c>
      <c r="E57" s="123"/>
      <c r="F57" s="123"/>
      <c r="G57" s="121"/>
      <c r="H57" s="90">
        <f>H56*0.67</f>
        <v>29157.4084</v>
      </c>
      <c r="I57" s="90">
        <f t="shared" ref="I57:T57" si="21">I56*0.67</f>
        <v>35330.708000000006</v>
      </c>
      <c r="J57" s="90">
        <f t="shared" si="21"/>
        <v>52837.834800000004</v>
      </c>
      <c r="K57" s="90">
        <f t="shared" si="21"/>
        <v>51446.352000000006</v>
      </c>
      <c r="L57" s="90">
        <f t="shared" si="21"/>
        <v>35933.674500000001</v>
      </c>
      <c r="M57" s="90">
        <f t="shared" si="21"/>
        <v>61186.014700000007</v>
      </c>
      <c r="N57" s="90">
        <f t="shared" si="21"/>
        <v>39591.103999999999</v>
      </c>
      <c r="O57" s="90">
        <f t="shared" si="21"/>
        <v>32215.683700000001</v>
      </c>
      <c r="P57" s="90">
        <f t="shared" si="21"/>
        <v>57380.414700000008</v>
      </c>
      <c r="Q57" s="90">
        <f t="shared" si="21"/>
        <v>76776.050400000007</v>
      </c>
      <c r="R57" s="90">
        <f t="shared" si="21"/>
        <v>71960.465599999996</v>
      </c>
      <c r="S57" s="90">
        <f t="shared" si="21"/>
        <v>28887.150500000003</v>
      </c>
      <c r="T57" s="90">
        <f t="shared" si="21"/>
        <v>555438.2611</v>
      </c>
      <c r="U57" s="8">
        <v>0.56699999999999995</v>
      </c>
      <c r="V57" s="8"/>
      <c r="W57" s="170">
        <f>'[1]Lonen 2023'!N103</f>
        <v>159199.30999999997</v>
      </c>
      <c r="X57" s="114">
        <f>W57/T57</f>
        <v>0.28661927193261544</v>
      </c>
    </row>
    <row r="58" spans="1:24" x14ac:dyDescent="0.2">
      <c r="A58" s="142" t="s">
        <v>45</v>
      </c>
      <c r="B58" s="121">
        <f>0.433*B56</f>
        <v>283659.59899999999</v>
      </c>
      <c r="C58" s="121"/>
      <c r="D58" s="122">
        <f>0.433*D56</f>
        <v>370745.85800000001</v>
      </c>
      <c r="E58" s="123"/>
      <c r="F58" s="123"/>
      <c r="G58" s="121"/>
      <c r="H58" s="90">
        <f>H56*0.33</f>
        <v>14361.1116</v>
      </c>
      <c r="I58" s="90">
        <f t="shared" ref="I58:T58" si="22">I56*0.33</f>
        <v>17401.692000000003</v>
      </c>
      <c r="J58" s="90">
        <f t="shared" si="22"/>
        <v>26024.605200000002</v>
      </c>
      <c r="K58" s="90">
        <f t="shared" si="22"/>
        <v>25339.248000000003</v>
      </c>
      <c r="L58" s="90">
        <f t="shared" si="22"/>
        <v>17698.675500000001</v>
      </c>
      <c r="M58" s="90">
        <f t="shared" si="22"/>
        <v>30136.395300000004</v>
      </c>
      <c r="N58" s="90">
        <f t="shared" si="22"/>
        <v>19500.096000000001</v>
      </c>
      <c r="O58" s="90">
        <f t="shared" si="22"/>
        <v>15867.426300000001</v>
      </c>
      <c r="P58" s="90">
        <f t="shared" si="22"/>
        <v>28261.995300000002</v>
      </c>
      <c r="Q58" s="90">
        <f t="shared" si="22"/>
        <v>37815.069600000003</v>
      </c>
      <c r="R58" s="90">
        <f t="shared" si="22"/>
        <v>35443.214399999997</v>
      </c>
      <c r="S58" s="90">
        <f t="shared" si="22"/>
        <v>14227.999500000002</v>
      </c>
      <c r="T58" s="90">
        <f t="shared" si="22"/>
        <v>273574.06890000001</v>
      </c>
      <c r="U58" s="8">
        <v>0.433</v>
      </c>
      <c r="V58" s="8"/>
      <c r="W58" s="170">
        <f>'[1]Lonen 2023'!N96</f>
        <v>185686.32</v>
      </c>
      <c r="X58" s="114">
        <f>W58/T58</f>
        <v>0.6787423996236801</v>
      </c>
    </row>
    <row r="59" spans="1:24" x14ac:dyDescent="0.2">
      <c r="A59" s="88" t="s">
        <v>31</v>
      </c>
      <c r="B59" s="121">
        <f>0.887*(46638+238258)</f>
        <v>252702.75200000001</v>
      </c>
      <c r="C59" s="141">
        <f>B59/B39</f>
        <v>0.21354915506609642</v>
      </c>
      <c r="D59" s="122">
        <v>363102</v>
      </c>
      <c r="E59" s="123"/>
      <c r="F59" s="123"/>
      <c r="G59" s="121"/>
      <c r="H59" s="90">
        <f>'[1]jan 23'!E26</f>
        <v>31089.94</v>
      </c>
      <c r="I59" s="90">
        <f>'[1]feb 23'!E26</f>
        <v>21379.360000000001</v>
      </c>
      <c r="J59" s="90">
        <f>'[1]mrt 23'!E26</f>
        <v>52905.32</v>
      </c>
      <c r="K59" s="90">
        <f>'[1]apr 23'!E26</f>
        <v>50794.59</v>
      </c>
      <c r="L59" s="90">
        <f>'[1]mei 23'!E26</f>
        <v>48554.9</v>
      </c>
      <c r="M59" s="90">
        <f>'[1]juni 23'!E26</f>
        <v>68816.95</v>
      </c>
      <c r="N59" s="169">
        <f>'[1]juli 23'!E26</f>
        <v>9974</v>
      </c>
      <c r="O59" s="143">
        <f>'[1]aug 23'!E26</f>
        <v>13256.57</v>
      </c>
      <c r="P59" s="143">
        <f>'[1]Sept 23'!E26</f>
        <v>45785.69</v>
      </c>
      <c r="Q59" s="155">
        <f>'[1]okt 23'!E26</f>
        <v>58329.31</v>
      </c>
      <c r="R59" s="155">
        <f>'[1]nov 23'!E26</f>
        <v>66977.279999999999</v>
      </c>
      <c r="S59" s="155">
        <f>'[1]dec 23'!E26</f>
        <v>25385.87</v>
      </c>
      <c r="T59" s="155">
        <f>SUM(H59:S59)</f>
        <v>493249.78</v>
      </c>
      <c r="U59" s="8"/>
      <c r="V59" s="8"/>
      <c r="W59" s="35">
        <f>'[1]Lonen 2023'!N64+'[1]Lonen 2023'!N73+'[1]Lonen 2023'!N108</f>
        <v>336721.57</v>
      </c>
      <c r="X59" s="114">
        <f>W59/(T59+T60)</f>
        <v>0.46373064690688265</v>
      </c>
    </row>
    <row r="60" spans="1:24" x14ac:dyDescent="0.2">
      <c r="A60" s="88" t="s">
        <v>32</v>
      </c>
      <c r="B60" s="121">
        <f>46638+238258-252703</f>
        <v>32193</v>
      </c>
      <c r="C60" s="121"/>
      <c r="D60" s="122">
        <v>68695</v>
      </c>
      <c r="E60" s="123"/>
      <c r="F60" s="123"/>
      <c r="G60" s="121"/>
      <c r="H60" s="90">
        <f>'[1]jan 23'!H26</f>
        <v>7728.05</v>
      </c>
      <c r="I60" s="90">
        <f>'[1]feb 23'!H26</f>
        <v>5045.8599999999997</v>
      </c>
      <c r="J60" s="90">
        <f>'[1]mrt 23'!H26</f>
        <v>9858.14</v>
      </c>
      <c r="K60" s="90">
        <f>'[1]apr 23'!H26</f>
        <v>53398.45</v>
      </c>
      <c r="L60" s="90">
        <f>'[1]mei 23'!H26</f>
        <v>7117.3</v>
      </c>
      <c r="M60" s="90">
        <f>'[1]juni 23'!H26</f>
        <v>10336.75</v>
      </c>
      <c r="N60" s="169">
        <f>'[1]juli 23'!H26</f>
        <v>9526.1200000000008</v>
      </c>
      <c r="O60" s="143">
        <f>'[1]aug 23'!H26</f>
        <v>20699.16</v>
      </c>
      <c r="P60" s="143">
        <f>'[1]Sept 23'!H26</f>
        <v>22142.66</v>
      </c>
      <c r="Q60" s="155">
        <f>'[1]okt 23'!H26</f>
        <v>48773.35</v>
      </c>
      <c r="R60" s="155">
        <f>'[1]nov 23'!H26</f>
        <v>39746.589999999997</v>
      </c>
      <c r="S60" s="155">
        <f>'[1]dec 23'!H26</f>
        <v>11295.42</v>
      </c>
      <c r="T60" s="155">
        <f>'[1]Totaal 23'!H26</f>
        <v>232864.77</v>
      </c>
      <c r="U60" s="8"/>
      <c r="V60" s="8"/>
    </row>
    <row r="61" spans="1:24" x14ac:dyDescent="0.2">
      <c r="A61" s="88" t="s">
        <v>33</v>
      </c>
      <c r="B61" s="121">
        <v>512000</v>
      </c>
      <c r="C61" s="121"/>
      <c r="D61" s="122">
        <v>540000</v>
      </c>
      <c r="E61" s="123"/>
      <c r="F61" s="123"/>
      <c r="G61" s="121"/>
      <c r="H61" s="90">
        <v>61557.569999999992</v>
      </c>
      <c r="I61" s="90">
        <v>60706.850000000006</v>
      </c>
      <c r="J61" s="90">
        <v>60143.28</v>
      </c>
      <c r="K61" s="90">
        <v>60503.94</v>
      </c>
      <c r="L61" s="90">
        <v>63922.250000000007</v>
      </c>
      <c r="M61" s="90">
        <v>60271.03</v>
      </c>
      <c r="N61" s="90">
        <v>50285.17</v>
      </c>
      <c r="O61" s="90">
        <v>49295.6</v>
      </c>
      <c r="P61" s="90">
        <v>49290.909999999996</v>
      </c>
      <c r="Q61" s="90">
        <v>51146.16</v>
      </c>
      <c r="R61" s="90">
        <v>53879.66</v>
      </c>
      <c r="S61" s="90">
        <v>60604.78</v>
      </c>
      <c r="T61" s="143">
        <f>SUM(H61:S61)</f>
        <v>681607.20000000007</v>
      </c>
      <c r="U61" s="8"/>
      <c r="V61" s="8"/>
    </row>
    <row r="62" spans="1:24" x14ac:dyDescent="0.2">
      <c r="A62" s="88" t="s">
        <v>34</v>
      </c>
      <c r="B62" s="102">
        <f>B61/B39</f>
        <v>0.43267105929199129</v>
      </c>
      <c r="C62" s="102"/>
      <c r="D62" s="103">
        <f>D61/D39</f>
        <v>0.3459744273642707</v>
      </c>
      <c r="E62" s="104"/>
      <c r="F62" s="104"/>
      <c r="G62" s="102"/>
      <c r="H62" s="99">
        <f t="shared" ref="H62:T62" si="23">H61/H39</f>
        <v>0.64092885877362227</v>
      </c>
      <c r="I62" s="99">
        <f t="shared" si="23"/>
        <v>0.56529811361656945</v>
      </c>
      <c r="J62" s="99">
        <f>J61/J39</f>
        <v>0.35904759550927234</v>
      </c>
      <c r="K62" s="99">
        <f>K61/K39</f>
        <v>0.25850961437192516</v>
      </c>
      <c r="L62" s="99">
        <f>L61/L39</f>
        <v>0.46592496918603771</v>
      </c>
      <c r="M62" s="99">
        <f>M61/M39</f>
        <v>0.29383322512018095</v>
      </c>
      <c r="N62" s="171">
        <f t="shared" si="23"/>
        <v>0.47268428021054287</v>
      </c>
      <c r="O62" s="171">
        <f t="shared" si="23"/>
        <v>0.47928818670845369</v>
      </c>
      <c r="P62" s="171">
        <f t="shared" si="23"/>
        <v>0.26424141945575419</v>
      </c>
      <c r="Q62" s="172">
        <f t="shared" si="23"/>
        <v>0.18501612799779832</v>
      </c>
      <c r="R62" s="172">
        <f t="shared" si="23"/>
        <v>0.20571902498341219</v>
      </c>
      <c r="S62" s="172">
        <f t="shared" si="23"/>
        <v>0.62443059975537851</v>
      </c>
      <c r="T62" s="172">
        <f t="shared" si="23"/>
        <v>0.35885909285423062</v>
      </c>
      <c r="U62" s="8"/>
      <c r="V62" s="8"/>
    </row>
    <row r="63" spans="1:24" x14ac:dyDescent="0.2">
      <c r="A63" s="88" t="s">
        <v>35</v>
      </c>
      <c r="B63" s="145">
        <v>10.199999999999999</v>
      </c>
      <c r="C63" s="145"/>
      <c r="D63" s="146">
        <v>12.5</v>
      </c>
      <c r="E63" s="147"/>
      <c r="F63" s="147"/>
      <c r="G63" s="145"/>
      <c r="H63" s="89">
        <v>14.2</v>
      </c>
      <c r="I63" s="89">
        <v>14.2</v>
      </c>
      <c r="J63" s="89">
        <v>14.2</v>
      </c>
      <c r="K63" s="89">
        <v>14.2</v>
      </c>
      <c r="L63" s="89">
        <v>14.2</v>
      </c>
      <c r="M63" s="89">
        <v>13.1</v>
      </c>
      <c r="N63" s="153">
        <f>'[1]Lonen 2023'!O110</f>
        <v>7.9200000000000008</v>
      </c>
      <c r="O63" s="152">
        <v>11.82</v>
      </c>
      <c r="P63" s="152">
        <v>11.020000000000001</v>
      </c>
      <c r="Q63" s="152">
        <v>12.020000000000001</v>
      </c>
      <c r="R63" s="152">
        <v>12.22</v>
      </c>
      <c r="S63" s="152">
        <v>12.22</v>
      </c>
      <c r="T63" s="153">
        <f>AVERAGE(H63:S63)</f>
        <v>12.61</v>
      </c>
      <c r="U63" s="8"/>
      <c r="V63" s="8"/>
    </row>
    <row r="64" spans="1:24" x14ac:dyDescent="0.2">
      <c r="A64" s="88" t="s">
        <v>36</v>
      </c>
      <c r="B64" s="121">
        <f>B61/B63</f>
        <v>50196.078431372553</v>
      </c>
      <c r="C64" s="121"/>
      <c r="D64" s="122">
        <f>D61/D63</f>
        <v>43200</v>
      </c>
      <c r="E64" s="123"/>
      <c r="F64" s="123"/>
      <c r="G64" s="121"/>
      <c r="H64" s="129">
        <f t="shared" ref="H64:T64" si="24">H61/H63</f>
        <v>4335.0401408450698</v>
      </c>
      <c r="I64" s="129">
        <f t="shared" si="24"/>
        <v>4275.1302816901416</v>
      </c>
      <c r="J64" s="129">
        <f t="shared" si="24"/>
        <v>4235.442253521127</v>
      </c>
      <c r="K64" s="129">
        <f t="shared" si="24"/>
        <v>4260.8408450704228</v>
      </c>
      <c r="L64" s="129">
        <f t="shared" si="24"/>
        <v>4501.5669014084515</v>
      </c>
      <c r="M64" s="129">
        <f t="shared" si="24"/>
        <v>4600.8419847328241</v>
      </c>
      <c r="N64" s="166">
        <f t="shared" si="24"/>
        <v>6349.1376262626254</v>
      </c>
      <c r="O64" s="166">
        <f t="shared" si="24"/>
        <v>4170.5245346869706</v>
      </c>
      <c r="P64" s="166">
        <f t="shared" si="24"/>
        <v>4472.8593466424672</v>
      </c>
      <c r="Q64" s="166">
        <f t="shared" si="24"/>
        <v>4255.0881863560726</v>
      </c>
      <c r="R64" s="166">
        <f t="shared" si="24"/>
        <v>4409.137479541735</v>
      </c>
      <c r="S64" s="166">
        <f t="shared" si="24"/>
        <v>4959.4746317512272</v>
      </c>
      <c r="T64" s="166">
        <f t="shared" si="24"/>
        <v>54052.910388580502</v>
      </c>
      <c r="U64" s="8"/>
      <c r="V64" s="8"/>
    </row>
    <row r="65" spans="1:22" x14ac:dyDescent="0.2">
      <c r="A65" s="88" t="s">
        <v>37</v>
      </c>
      <c r="B65" s="121">
        <f>B39/B63</f>
        <v>116014.41176470589</v>
      </c>
      <c r="C65" s="121"/>
      <c r="D65" s="122">
        <f>D39/D63</f>
        <v>124864.72</v>
      </c>
      <c r="E65" s="123"/>
      <c r="F65" s="123"/>
      <c r="G65" s="121"/>
      <c r="H65" s="129">
        <f t="shared" ref="H65:T65" si="25">H39/H63</f>
        <v>6763.6838028169013</v>
      </c>
      <c r="I65" s="129">
        <f t="shared" si="25"/>
        <v>7562.6119718309865</v>
      </c>
      <c r="J65" s="129">
        <f t="shared" si="25"/>
        <v>11796.325352112677</v>
      </c>
      <c r="K65" s="129">
        <f>K39/K63</f>
        <v>16482.330281690141</v>
      </c>
      <c r="L65" s="129">
        <f>L39/L63</f>
        <v>9661.570422535211</v>
      </c>
      <c r="M65" s="129">
        <f>M39/M63</f>
        <v>15658.00458015267</v>
      </c>
      <c r="N65" s="166">
        <f t="shared" si="25"/>
        <v>13432.089646464645</v>
      </c>
      <c r="O65" s="166">
        <f t="shared" si="25"/>
        <v>8701.4966159052456</v>
      </c>
      <c r="P65" s="166">
        <f t="shared" si="25"/>
        <v>16927.169691470051</v>
      </c>
      <c r="Q65" s="166">
        <f t="shared" si="25"/>
        <v>22998.471713810315</v>
      </c>
      <c r="R65" s="166">
        <f t="shared" si="25"/>
        <v>21432.813420621929</v>
      </c>
      <c r="S65" s="166">
        <f t="shared" si="25"/>
        <v>7942.3952536824881</v>
      </c>
      <c r="T65" s="166">
        <f t="shared" si="25"/>
        <v>150624.32989690723</v>
      </c>
      <c r="U65" s="8"/>
      <c r="V65" s="8"/>
    </row>
    <row r="66" spans="1:22" x14ac:dyDescent="0.2">
      <c r="N66" s="95"/>
      <c r="O66" s="95"/>
      <c r="P66" s="95"/>
      <c r="Q66" s="95"/>
      <c r="R66" s="95"/>
      <c r="S66" s="95"/>
      <c r="T66" s="95"/>
      <c r="U66" s="95"/>
      <c r="V66" s="95"/>
    </row>
    <row r="67" spans="1:22" x14ac:dyDescent="0.2">
      <c r="N67" s="95"/>
      <c r="O67" s="95"/>
      <c r="P67" s="95"/>
      <c r="Q67" s="95"/>
      <c r="R67" s="95"/>
      <c r="S67" s="95"/>
      <c r="T67" s="95"/>
      <c r="U67" s="95"/>
      <c r="V67" s="95"/>
    </row>
    <row r="68" spans="1:22" ht="27" x14ac:dyDescent="0.2">
      <c r="A68" s="85">
        <v>2024</v>
      </c>
      <c r="B68" s="91" t="s">
        <v>38</v>
      </c>
      <c r="C68" s="91"/>
      <c r="D68" s="92" t="s">
        <v>39</v>
      </c>
      <c r="E68" s="93"/>
      <c r="F68" s="112">
        <f>E56/38*24</f>
        <v>0</v>
      </c>
      <c r="G68" s="91"/>
      <c r="H68" s="86" t="s">
        <v>0</v>
      </c>
      <c r="I68" s="86" t="s">
        <v>1</v>
      </c>
      <c r="J68" s="86" t="s">
        <v>2</v>
      </c>
      <c r="K68" s="86" t="s">
        <v>3</v>
      </c>
      <c r="L68" s="86" t="s">
        <v>4</v>
      </c>
      <c r="M68" s="86" t="s">
        <v>46</v>
      </c>
      <c r="N68" s="173" t="s">
        <v>47</v>
      </c>
      <c r="O68" s="173" t="s">
        <v>7</v>
      </c>
      <c r="P68" s="173" t="s">
        <v>8</v>
      </c>
      <c r="Q68" s="173" t="s">
        <v>9</v>
      </c>
      <c r="R68" s="173" t="s">
        <v>10</v>
      </c>
      <c r="S68" s="173" t="s">
        <v>11</v>
      </c>
      <c r="T68" s="95" t="s">
        <v>40</v>
      </c>
      <c r="U68" s="95" t="s">
        <v>41</v>
      </c>
      <c r="V68" s="95"/>
    </row>
    <row r="69" spans="1:22" x14ac:dyDescent="0.2">
      <c r="A69" s="88" t="s">
        <v>48</v>
      </c>
      <c r="B69" s="91">
        <f>2736+515</f>
        <v>3251</v>
      </c>
      <c r="C69" s="91"/>
      <c r="D69" s="92">
        <v>3925</v>
      </c>
      <c r="E69" s="93"/>
      <c r="F69" s="93"/>
      <c r="G69" s="91"/>
      <c r="H69" s="95">
        <f>'[1]jan 24'!B11</f>
        <v>234</v>
      </c>
      <c r="I69" s="95">
        <f>'[1]feb 24'!B11</f>
        <v>365</v>
      </c>
      <c r="J69" s="95">
        <f>'[1]mrt 24'!B11</f>
        <v>290</v>
      </c>
      <c r="K69" s="95">
        <f>'[1]apr 24'!B11</f>
        <v>371</v>
      </c>
      <c r="L69" s="95">
        <f>'[1]mei 24'!B11</f>
        <v>378</v>
      </c>
      <c r="M69" s="95">
        <f>'[1]juni 24'!B11</f>
        <v>358</v>
      </c>
      <c r="N69" s="95">
        <f>'[1]juli 24'!B11</f>
        <v>126</v>
      </c>
      <c r="O69" s="95">
        <f>'[1]aug 24'!B11</f>
        <v>129</v>
      </c>
      <c r="P69" s="95">
        <f>'[1]sep 24'!B11</f>
        <v>335</v>
      </c>
      <c r="Q69" s="95">
        <f>'[1]okt 24'!B11</f>
        <v>414</v>
      </c>
      <c r="R69" s="95">
        <f>'[1]nov 24'!B11</f>
        <v>565</v>
      </c>
      <c r="S69" s="95">
        <f>'[1]dec 24'!B11</f>
        <v>160</v>
      </c>
      <c r="T69" s="95">
        <f>'[1]Totaal 24'!B11</f>
        <v>3639</v>
      </c>
      <c r="U69" s="95">
        <f>SUM(H69:S69)</f>
        <v>3725</v>
      </c>
      <c r="V69" s="95"/>
    </row>
    <row r="70" spans="1:22" x14ac:dyDescent="0.2">
      <c r="A70" s="88" t="s">
        <v>12</v>
      </c>
      <c r="B70" s="91">
        <f>10475+1910</f>
        <v>12385</v>
      </c>
      <c r="C70" s="91"/>
      <c r="D70" s="92">
        <v>18408</v>
      </c>
      <c r="E70" s="93"/>
      <c r="F70" s="93"/>
      <c r="G70" s="91"/>
      <c r="H70" s="95">
        <f>'[1]jan 24'!C11</f>
        <v>968</v>
      </c>
      <c r="I70" s="95">
        <f>'[1]feb 24'!C11</f>
        <v>1391</v>
      </c>
      <c r="J70" s="95">
        <f>'[1]mrt 24'!C11</f>
        <v>1356</v>
      </c>
      <c r="K70" s="95">
        <f>'[1]apr 24'!C11</f>
        <v>1454</v>
      </c>
      <c r="L70" s="95">
        <f>'[1]mei 24'!C11</f>
        <v>1386</v>
      </c>
      <c r="M70" s="95">
        <f>'[1]juni 24'!C11</f>
        <v>1678</v>
      </c>
      <c r="N70" s="95">
        <f>'[1]juli 24'!C11</f>
        <v>637</v>
      </c>
      <c r="O70" s="95">
        <f>'[1]aug 24'!C11</f>
        <v>808</v>
      </c>
      <c r="P70" s="95">
        <f>'[1]sep 24'!C11</f>
        <v>1476</v>
      </c>
      <c r="Q70" s="95">
        <f>'[1]okt 24'!C11</f>
        <v>1916</v>
      </c>
      <c r="R70" s="95">
        <f>'[1]nov 24'!C11</f>
        <v>2092</v>
      </c>
      <c r="S70" s="95">
        <f>'[1]dec 24'!C11</f>
        <v>687</v>
      </c>
      <c r="T70" s="95">
        <f>'[1]Totaal 24'!C11</f>
        <v>15551</v>
      </c>
      <c r="U70" s="95">
        <f>SUM(H70:S70)</f>
        <v>15849</v>
      </c>
      <c r="V70" s="95"/>
    </row>
    <row r="71" spans="1:22" x14ac:dyDescent="0.2">
      <c r="A71" s="88" t="s">
        <v>13</v>
      </c>
      <c r="B71" s="115">
        <f>B70/B69</f>
        <v>3.8095970470624425</v>
      </c>
      <c r="C71" s="115"/>
      <c r="D71" s="116">
        <v>4.6500000000000004</v>
      </c>
      <c r="E71" s="117"/>
      <c r="F71" s="117"/>
      <c r="G71" s="115"/>
      <c r="H71" s="119">
        <f>'[1]jan 24'!D11</f>
        <v>4.1399999999999997</v>
      </c>
      <c r="I71" s="119">
        <f>'[1]feb 24'!D11</f>
        <v>3.81</v>
      </c>
      <c r="J71" s="118">
        <f>'[1]mrt 24'!D11</f>
        <v>4.68</v>
      </c>
      <c r="K71" s="118">
        <f>'[1]apr 24'!D11</f>
        <v>3.92</v>
      </c>
      <c r="L71" s="118">
        <f>'[1]mei 24'!D11</f>
        <v>3.67</v>
      </c>
      <c r="M71" s="118">
        <f>'[1]juni 24'!D11</f>
        <v>4.6900000000000004</v>
      </c>
      <c r="N71" s="118">
        <f>'[1]juli 24'!D11</f>
        <v>5.0599999999999996</v>
      </c>
      <c r="O71" s="118">
        <f>'[1]aug 24'!D11</f>
        <v>6.26</v>
      </c>
      <c r="P71" s="118">
        <f>'[1]sep 24'!D11</f>
        <v>4.41</v>
      </c>
      <c r="Q71" s="118">
        <f>'[1]okt 24'!D11</f>
        <v>4.63</v>
      </c>
      <c r="R71" s="118">
        <f>'[1]nov 24'!D11</f>
        <v>3.7</v>
      </c>
      <c r="S71" s="118">
        <f>'[1]dec 24'!D11</f>
        <v>4.29</v>
      </c>
      <c r="T71" s="118">
        <f>'[1]Totaal 24'!D11</f>
        <v>4.2699999999999996</v>
      </c>
      <c r="U71" s="118">
        <f>U70/U69</f>
        <v>4.2547651006711407</v>
      </c>
      <c r="V71" s="95"/>
    </row>
    <row r="72" spans="1:22" x14ac:dyDescent="0.2">
      <c r="A72" s="88" t="s">
        <v>14</v>
      </c>
      <c r="B72" s="121">
        <f>173570+1009777</f>
        <v>1183347</v>
      </c>
      <c r="C72" s="121"/>
      <c r="D72" s="122">
        <v>1560809</v>
      </c>
      <c r="E72" s="123"/>
      <c r="F72" s="123"/>
      <c r="G72" s="121"/>
      <c r="H72" s="90">
        <f>'[1]jan 24'!E11</f>
        <v>92473.76</v>
      </c>
      <c r="I72" s="90">
        <f>'[1]feb 24'!E11</f>
        <v>147786.56</v>
      </c>
      <c r="J72" s="90">
        <f>'[1]mrt 24'!E11</f>
        <v>141675.93</v>
      </c>
      <c r="K72" s="90">
        <f>'[1]apr 24'!E11</f>
        <v>154732.44</v>
      </c>
      <c r="L72" s="90">
        <f>'[1]mei 24'!E11</f>
        <v>125337.4</v>
      </c>
      <c r="M72" s="90">
        <f>'[1]juni 24'!E11</f>
        <v>158482.07999999999</v>
      </c>
      <c r="N72" s="90">
        <f>'[1]juli 24'!E11</f>
        <v>36632.65</v>
      </c>
      <c r="O72" s="90">
        <f>'[1]aug 24'!E11</f>
        <v>40612.46</v>
      </c>
      <c r="P72" s="90">
        <f>'[1]sep 24'!E11</f>
        <v>166373.62</v>
      </c>
      <c r="Q72" s="90">
        <f>'[1]okt 24'!E11</f>
        <v>185012.61</v>
      </c>
      <c r="R72" s="90">
        <f>'[1]nov 24'!E11</f>
        <v>253817.42</v>
      </c>
      <c r="S72" s="90">
        <f>'[1]dec 24'!E11</f>
        <v>69741.31</v>
      </c>
      <c r="T72" s="90">
        <f>'[1]Totaal 24'!E11</f>
        <v>1572095.19</v>
      </c>
      <c r="U72" s="95">
        <f>SUM(H72:S72)</f>
        <v>1572678.2399999998</v>
      </c>
      <c r="V72" s="95"/>
    </row>
    <row r="73" spans="1:22" x14ac:dyDescent="0.2">
      <c r="A73" s="88" t="s">
        <v>15</v>
      </c>
      <c r="B73" s="126">
        <f>B72/B69</f>
        <v>363.99477083974159</v>
      </c>
      <c r="C73" s="126"/>
      <c r="D73" s="127">
        <v>396</v>
      </c>
      <c r="E73" s="128"/>
      <c r="F73" s="128"/>
      <c r="G73" s="126"/>
      <c r="H73" s="90">
        <f>'[1]jan 24'!F11</f>
        <v>395.19</v>
      </c>
      <c r="I73" s="90">
        <f>'[1]feb 24'!F11</f>
        <v>404.89</v>
      </c>
      <c r="J73" s="156">
        <f>'[1]mrt 24'!F11</f>
        <v>488.54</v>
      </c>
      <c r="K73" s="129">
        <f>'[1]apr 24'!F11</f>
        <v>417.07</v>
      </c>
      <c r="L73" s="129">
        <f>'[1]mei 24'!F11</f>
        <v>331.58</v>
      </c>
      <c r="M73" s="156">
        <f>'[1]juni 24'!F11</f>
        <v>442.69</v>
      </c>
      <c r="N73" s="95">
        <f>'[1]juli 24'!F11</f>
        <v>290.74</v>
      </c>
      <c r="O73" s="95">
        <f>'[1]aug 24'!F11</f>
        <v>314.83</v>
      </c>
      <c r="P73" s="95">
        <f>'[1]sep 24'!F11</f>
        <v>496.64</v>
      </c>
      <c r="Q73" s="95">
        <f>'[1]okt 24'!F11</f>
        <v>446.89</v>
      </c>
      <c r="R73" s="95">
        <f>'[1]nov 24'!F11</f>
        <v>449.23</v>
      </c>
      <c r="S73" s="95">
        <f>'[1]dec 24'!F11</f>
        <v>435.88</v>
      </c>
      <c r="T73" s="95">
        <f>'[1]Totaal 24'!F11</f>
        <v>432.01</v>
      </c>
      <c r="U73" s="95"/>
      <c r="V73" s="95"/>
    </row>
    <row r="74" spans="1:22" x14ac:dyDescent="0.2">
      <c r="A74" s="88" t="s">
        <v>16</v>
      </c>
      <c r="B74" s="126">
        <f>B72/B70</f>
        <v>95.546790472345577</v>
      </c>
      <c r="C74" s="126"/>
      <c r="D74" s="127">
        <v>85</v>
      </c>
      <c r="E74" s="128"/>
      <c r="F74" s="128"/>
      <c r="G74" s="126"/>
      <c r="H74" s="90">
        <f>'[1]jan 24'!H11</f>
        <v>95.53</v>
      </c>
      <c r="I74" s="90">
        <f>'[1]feb 24'!H11</f>
        <v>106.24</v>
      </c>
      <c r="J74" s="156">
        <f>'[1]mrt 24'!H11</f>
        <v>104.48</v>
      </c>
      <c r="K74" s="129">
        <f>'[1]apr 24'!H11</f>
        <v>106.42</v>
      </c>
      <c r="L74" s="129">
        <f>'[1]mei 24'!H11</f>
        <v>90.43</v>
      </c>
      <c r="M74" s="156">
        <f>'[1]juni 24'!H11</f>
        <v>94.45</v>
      </c>
      <c r="N74" s="95">
        <f>'[1]juli 24'!H11</f>
        <v>57.51</v>
      </c>
      <c r="O74" s="95">
        <f>'[1]aug 24'!H11</f>
        <v>50.26</v>
      </c>
      <c r="P74" s="95">
        <f>'[1]sep 24'!H11</f>
        <v>112.72</v>
      </c>
      <c r="Q74" s="95">
        <f>'[1]okt 24'!H11</f>
        <v>96.56</v>
      </c>
      <c r="R74" s="95">
        <f>'[1]nov 24'!H11</f>
        <v>121.33</v>
      </c>
      <c r="S74" s="95">
        <f>'[1]dec 24'!H11</f>
        <v>101.52</v>
      </c>
      <c r="T74" s="95">
        <f>'[1]Totaal 24'!H11</f>
        <v>101.09</v>
      </c>
      <c r="U74" s="95"/>
      <c r="V74" s="95"/>
    </row>
    <row r="75" spans="1:22" x14ac:dyDescent="0.2">
      <c r="B75" s="91"/>
      <c r="C75" s="91"/>
      <c r="D75" s="92"/>
      <c r="E75" s="93"/>
      <c r="F75" s="93"/>
      <c r="G75" s="91"/>
      <c r="I75" s="131"/>
      <c r="N75" s="95"/>
      <c r="O75" s="95"/>
      <c r="P75" s="95"/>
      <c r="Q75" s="95"/>
      <c r="R75" s="95"/>
      <c r="S75" s="95"/>
      <c r="T75" s="95"/>
      <c r="U75" s="95"/>
      <c r="V75" s="95"/>
    </row>
    <row r="76" spans="1:22" x14ac:dyDescent="0.2">
      <c r="A76" s="88" t="s">
        <v>17</v>
      </c>
      <c r="B76" s="91"/>
      <c r="C76" s="91"/>
      <c r="D76" s="92"/>
      <c r="E76" s="93"/>
      <c r="F76" s="93"/>
      <c r="G76" s="91"/>
      <c r="H76" s="95">
        <f>1240</f>
        <v>1240</v>
      </c>
      <c r="I76" s="95">
        <v>1160</v>
      </c>
      <c r="J76" s="95">
        <f>1240</f>
        <v>1240</v>
      </c>
      <c r="K76" s="95">
        <v>1200</v>
      </c>
      <c r="L76" s="95">
        <f>1240</f>
        <v>1240</v>
      </c>
      <c r="M76" s="95">
        <v>1200</v>
      </c>
      <c r="N76" s="95">
        <f>1240</f>
        <v>1240</v>
      </c>
      <c r="O76" s="95">
        <f>1240</f>
        <v>1240</v>
      </c>
      <c r="P76" s="150">
        <v>1200</v>
      </c>
      <c r="Q76" s="95">
        <f>1240</f>
        <v>1240</v>
      </c>
      <c r="R76" s="150">
        <v>1200</v>
      </c>
      <c r="S76" s="95">
        <f>1240</f>
        <v>1240</v>
      </c>
      <c r="T76" s="151">
        <v>13920</v>
      </c>
      <c r="U76" s="9">
        <f>SUM(H76:S76)</f>
        <v>14640</v>
      </c>
      <c r="V76" s="8"/>
    </row>
    <row r="77" spans="1:22" x14ac:dyDescent="0.2">
      <c r="A77" s="88" t="s">
        <v>18</v>
      </c>
      <c r="B77" s="91">
        <v>13870</v>
      </c>
      <c r="C77" s="91"/>
      <c r="D77" s="92">
        <v>14600</v>
      </c>
      <c r="E77" s="93"/>
      <c r="F77" s="93"/>
      <c r="G77" s="94"/>
      <c r="H77" s="95">
        <f>1240*221/365</f>
        <v>750.79452054794524</v>
      </c>
      <c r="I77" s="95">
        <f>1160*221/365</f>
        <v>702.35616438356169</v>
      </c>
      <c r="J77" s="95">
        <f>1240*221/365</f>
        <v>750.79452054794524</v>
      </c>
      <c r="K77" s="95">
        <f>1200*221/365</f>
        <v>726.57534246575347</v>
      </c>
      <c r="L77" s="95">
        <f>1240*221/365</f>
        <v>750.79452054794524</v>
      </c>
      <c r="M77" s="95">
        <f>1200*221/365</f>
        <v>726.57534246575347</v>
      </c>
      <c r="N77" s="95">
        <f>1240*221/365</f>
        <v>750.79452054794524</v>
      </c>
      <c r="O77" s="95">
        <f>1240*221/365</f>
        <v>750.79452054794524</v>
      </c>
      <c r="P77" s="95">
        <f>1200*221/365</f>
        <v>726.57534246575347</v>
      </c>
      <c r="Q77" s="95">
        <f>1240*221/365</f>
        <v>750.79452054794524</v>
      </c>
      <c r="R77" s="95">
        <f>1200*221/365</f>
        <v>726.57534246575347</v>
      </c>
      <c r="S77" s="95">
        <f>1240*221/365</f>
        <v>750.79452054794524</v>
      </c>
      <c r="T77" s="151">
        <f>T76*221/365</f>
        <v>8428.2739726027394</v>
      </c>
      <c r="U77" s="8">
        <f>221*38</f>
        <v>8398</v>
      </c>
      <c r="V77" s="8"/>
    </row>
    <row r="78" spans="1:22" s="184" customFormat="1" x14ac:dyDescent="0.2">
      <c r="A78" s="180" t="s">
        <v>84</v>
      </c>
      <c r="B78" s="181"/>
      <c r="C78" s="181"/>
      <c r="D78" s="181"/>
      <c r="E78" s="181"/>
      <c r="F78" s="181"/>
      <c r="G78" s="181"/>
      <c r="H78" s="182">
        <v>597</v>
      </c>
      <c r="I78" s="182">
        <v>539</v>
      </c>
      <c r="J78" s="182">
        <v>597</v>
      </c>
      <c r="K78" s="182">
        <v>578</v>
      </c>
      <c r="L78" s="182">
        <v>597</v>
      </c>
      <c r="M78" s="182">
        <v>578</v>
      </c>
      <c r="N78" s="182">
        <v>597</v>
      </c>
      <c r="O78" s="182">
        <v>597</v>
      </c>
      <c r="P78" s="182">
        <v>578</v>
      </c>
      <c r="Q78" s="183">
        <v>597</v>
      </c>
      <c r="R78" s="182">
        <v>578</v>
      </c>
      <c r="S78" s="183">
        <v>597</v>
      </c>
      <c r="T78" s="183">
        <f>SUM(H78:S78)</f>
        <v>7030</v>
      </c>
    </row>
    <row r="79" spans="1:22" x14ac:dyDescent="0.2">
      <c r="A79" s="88" t="s">
        <v>19</v>
      </c>
      <c r="B79" s="134">
        <f>B72/B86</f>
        <v>257.64141084258654</v>
      </c>
      <c r="C79" s="134"/>
      <c r="D79" s="135">
        <v>330</v>
      </c>
      <c r="E79" s="112"/>
      <c r="F79" s="112"/>
      <c r="G79" s="134"/>
      <c r="H79" s="162">
        <f>H88/H86</f>
        <v>86.442784810126582</v>
      </c>
      <c r="I79" s="162">
        <f t="shared" ref="I79:T79" si="26">I88/I86</f>
        <v>92.488250000000008</v>
      </c>
      <c r="J79" s="162">
        <f t="shared" si="26"/>
        <v>94.047007874015748</v>
      </c>
      <c r="K79" s="129">
        <f>K88/K86</f>
        <v>82.0228527607362</v>
      </c>
      <c r="L79" s="129">
        <f t="shared" si="26"/>
        <v>76.743582089552234</v>
      </c>
      <c r="M79" s="129">
        <f t="shared" si="26"/>
        <v>71.391440677966102</v>
      </c>
      <c r="N79" s="129">
        <f t="shared" si="26"/>
        <v>20.427295597484278</v>
      </c>
      <c r="O79" s="129">
        <f>O88/O87</f>
        <v>42.631578947368418</v>
      </c>
      <c r="P79" s="162">
        <f t="shared" si="26"/>
        <v>83.39546174142481</v>
      </c>
      <c r="Q79" s="162">
        <f t="shared" si="26"/>
        <v>89.737262569832396</v>
      </c>
      <c r="R79" s="162">
        <f t="shared" si="26"/>
        <v>85.975463258785936</v>
      </c>
      <c r="S79" s="162">
        <f t="shared" si="26"/>
        <v>73.506690647482017</v>
      </c>
      <c r="T79" s="162">
        <f t="shared" si="26"/>
        <v>77.503249107388086</v>
      </c>
      <c r="U79" s="8"/>
      <c r="V79" s="8"/>
    </row>
    <row r="80" spans="1:22" x14ac:dyDescent="0.2">
      <c r="A80" s="88" t="s">
        <v>20</v>
      </c>
      <c r="B80" s="134"/>
      <c r="C80" s="134"/>
      <c r="D80" s="135"/>
      <c r="E80" s="112"/>
      <c r="F80" s="112"/>
      <c r="G80" s="134"/>
      <c r="H80" s="164">
        <f t="shared" ref="H80:R80" si="27">H86/H76</f>
        <v>0.12741935483870967</v>
      </c>
      <c r="I80" s="164">
        <f t="shared" si="27"/>
        <v>0.34482758620689657</v>
      </c>
      <c r="J80" s="164">
        <f t="shared" si="27"/>
        <v>0.20483870967741935</v>
      </c>
      <c r="K80" s="164">
        <f t="shared" si="27"/>
        <v>0.27166666666666667</v>
      </c>
      <c r="L80" s="164">
        <f t="shared" si="27"/>
        <v>0.21612903225806451</v>
      </c>
      <c r="M80" s="164">
        <f t="shared" si="27"/>
        <v>0.29499999999999998</v>
      </c>
      <c r="N80" s="164">
        <f t="shared" si="27"/>
        <v>0.12822580645161291</v>
      </c>
      <c r="O80" s="164">
        <f>O87/O76</f>
        <v>7.6612903225806453E-2</v>
      </c>
      <c r="P80" s="164">
        <f t="shared" si="27"/>
        <v>0.31583333333333335</v>
      </c>
      <c r="Q80" s="164">
        <f t="shared" si="27"/>
        <v>0.28870967741935483</v>
      </c>
      <c r="R80" s="164">
        <f t="shared" si="27"/>
        <v>0.52166666666666661</v>
      </c>
      <c r="S80" s="164">
        <f>S86/S76</f>
        <v>0.11209677419354838</v>
      </c>
      <c r="T80" s="164">
        <f>AVERAGE(G80:J80)</f>
        <v>0.22569521690767522</v>
      </c>
      <c r="U80" s="8"/>
      <c r="V80" s="8"/>
    </row>
    <row r="81" spans="1:24" x14ac:dyDescent="0.2">
      <c r="A81" s="88" t="s">
        <v>21</v>
      </c>
      <c r="B81" s="102">
        <f>B86/B77</f>
        <v>0.33114635904830569</v>
      </c>
      <c r="C81" s="102"/>
      <c r="D81" s="103">
        <v>0.28999999999999998</v>
      </c>
      <c r="E81" s="104"/>
      <c r="F81" s="104"/>
      <c r="G81" s="102"/>
      <c r="H81" s="164">
        <f>H86/H77</f>
        <v>0.2104437308422128</v>
      </c>
      <c r="I81" s="164">
        <f t="shared" ref="I81:N81" si="28">I86/I77</f>
        <v>0.56951162427835855</v>
      </c>
      <c r="J81" s="164">
        <f t="shared" si="28"/>
        <v>0.33830827616406361</v>
      </c>
      <c r="K81" s="164">
        <f t="shared" si="28"/>
        <v>0.44868024132730011</v>
      </c>
      <c r="L81" s="164">
        <f t="shared" si="28"/>
        <v>0.35695518902350021</v>
      </c>
      <c r="M81" s="164">
        <f t="shared" si="28"/>
        <v>0.48721719457013574</v>
      </c>
      <c r="N81" s="164">
        <f t="shared" si="28"/>
        <v>0.21177565318931543</v>
      </c>
      <c r="O81" s="164">
        <f>O87/O77</f>
        <v>0.12653262297474821</v>
      </c>
      <c r="P81" s="164">
        <f>P86/P77</f>
        <v>0.52162518853695317</v>
      </c>
      <c r="Q81" s="164">
        <f t="shared" ref="Q81:S81" si="29">Q86/Q77</f>
        <v>0.47682820026273537</v>
      </c>
      <c r="R81" s="164">
        <f t="shared" si="29"/>
        <v>0.86157616892911004</v>
      </c>
      <c r="S81" s="164">
        <f t="shared" si="29"/>
        <v>0.18513720624726315</v>
      </c>
      <c r="T81" s="164">
        <f>AVERAGE(G81:J81)</f>
        <v>0.37275454376154499</v>
      </c>
      <c r="U81" s="165">
        <f>B86/U77</f>
        <v>0.54691593236484881</v>
      </c>
      <c r="V81" s="8"/>
    </row>
    <row r="82" spans="1:24" s="184" customFormat="1" x14ac:dyDescent="0.2">
      <c r="A82" s="180" t="s">
        <v>83</v>
      </c>
      <c r="B82" s="187"/>
      <c r="C82" s="187"/>
      <c r="D82" s="187"/>
      <c r="E82" s="187"/>
      <c r="F82" s="187"/>
      <c r="G82" s="187"/>
      <c r="H82" s="188">
        <f t="shared" ref="H82:S82" si="30">H86/H78</f>
        <v>0.26465661641541038</v>
      </c>
      <c r="I82" s="188">
        <f t="shared" si="30"/>
        <v>0.74211502782931349</v>
      </c>
      <c r="J82" s="188">
        <f t="shared" si="30"/>
        <v>0.42546063651591287</v>
      </c>
      <c r="K82" s="188">
        <f t="shared" si="30"/>
        <v>0.56401384083044981</v>
      </c>
      <c r="L82" s="188">
        <f t="shared" si="30"/>
        <v>0.4489112227805695</v>
      </c>
      <c r="M82" s="188">
        <f t="shared" si="30"/>
        <v>0.61245674740484424</v>
      </c>
      <c r="N82" s="188">
        <f t="shared" si="30"/>
        <v>0.26633165829145727</v>
      </c>
      <c r="O82" s="188">
        <f t="shared" si="30"/>
        <v>0.35343383584589616</v>
      </c>
      <c r="P82" s="188">
        <f t="shared" si="30"/>
        <v>0.65570934256055369</v>
      </c>
      <c r="Q82" s="188">
        <f t="shared" si="30"/>
        <v>0.59966499162479059</v>
      </c>
      <c r="R82" s="188">
        <f t="shared" si="30"/>
        <v>1.0830449826989619</v>
      </c>
      <c r="S82" s="188">
        <f t="shared" si="30"/>
        <v>0.23283082077051925</v>
      </c>
      <c r="T82" s="188">
        <f>AVERAGE(H82:S82)</f>
        <v>0.52071914363072325</v>
      </c>
      <c r="U82" s="190"/>
    </row>
    <row r="83" spans="1:24" x14ac:dyDescent="0.2">
      <c r="A83" s="88" t="s">
        <v>22</v>
      </c>
      <c r="B83" s="126">
        <f>B88/B86</f>
        <v>52.981929022425433</v>
      </c>
      <c r="C83" s="126"/>
      <c r="D83" s="127">
        <v>62</v>
      </c>
      <c r="E83" s="128"/>
      <c r="F83" s="128"/>
      <c r="G83" s="126"/>
      <c r="H83" s="166">
        <f t="shared" ref="H83:Q83" si="31">H88/H86</f>
        <v>86.442784810126582</v>
      </c>
      <c r="I83" s="166">
        <f t="shared" si="31"/>
        <v>92.488250000000008</v>
      </c>
      <c r="J83" s="166">
        <f t="shared" si="31"/>
        <v>94.047007874015748</v>
      </c>
      <c r="K83" s="129">
        <f t="shared" si="31"/>
        <v>82.0228527607362</v>
      </c>
      <c r="L83" s="129">
        <f t="shared" si="31"/>
        <v>76.743582089552234</v>
      </c>
      <c r="M83" s="129">
        <f t="shared" si="31"/>
        <v>71.391440677966102</v>
      </c>
      <c r="N83" s="129">
        <f t="shared" si="31"/>
        <v>20.427295597484278</v>
      </c>
      <c r="O83" s="129">
        <f>O88/O87</f>
        <v>42.631578947368418</v>
      </c>
      <c r="P83" s="166">
        <f t="shared" si="31"/>
        <v>83.39546174142481</v>
      </c>
      <c r="Q83" s="166">
        <f t="shared" si="31"/>
        <v>89.737262569832396</v>
      </c>
      <c r="R83" s="166">
        <f>R88/R86</f>
        <v>85.975463258785936</v>
      </c>
      <c r="S83" s="166">
        <f t="shared" ref="S83" si="32">S88/S86</f>
        <v>73.506690647482017</v>
      </c>
      <c r="T83" s="164"/>
      <c r="U83" s="8"/>
      <c r="V83" s="8"/>
    </row>
    <row r="84" spans="1:24" x14ac:dyDescent="0.2">
      <c r="A84" s="88" t="s">
        <v>23</v>
      </c>
      <c r="B84" s="126">
        <f>B88/B77</f>
        <v>17.544772891131938</v>
      </c>
      <c r="C84" s="126"/>
      <c r="D84" s="127">
        <v>18</v>
      </c>
      <c r="E84" s="128"/>
      <c r="F84" s="128"/>
      <c r="G84" s="126"/>
      <c r="H84" s="166">
        <f>H88/H77</f>
        <v>18.191342139833598</v>
      </c>
      <c r="I84" s="166">
        <f t="shared" ref="I84:T84" si="33">I88/I77</f>
        <v>52.673133484162896</v>
      </c>
      <c r="J84" s="166">
        <f t="shared" si="33"/>
        <v>31.816881112246385</v>
      </c>
      <c r="K84" s="129">
        <f t="shared" si="33"/>
        <v>36.802033371040721</v>
      </c>
      <c r="L84" s="129">
        <f t="shared" si="33"/>
        <v>27.394019851116621</v>
      </c>
      <c r="M84" s="129">
        <f t="shared" si="33"/>
        <v>34.78313744343891</v>
      </c>
      <c r="N84" s="129">
        <f t="shared" si="33"/>
        <v>4.3260038680484598</v>
      </c>
      <c r="O84" s="129">
        <f>O88/O77</f>
        <v>5.3942855057655814</v>
      </c>
      <c r="P84" s="166">
        <f t="shared" si="33"/>
        <v>43.501173453996984</v>
      </c>
      <c r="Q84" s="166">
        <f t="shared" si="33"/>
        <v>42.789257407677709</v>
      </c>
      <c r="R84" s="166">
        <f t="shared" si="33"/>
        <v>74.074410256410246</v>
      </c>
      <c r="S84" s="166">
        <f t="shared" si="33"/>
        <v>13.608823346956649</v>
      </c>
      <c r="T84" s="166">
        <f t="shared" si="33"/>
        <v>33.481271600483701</v>
      </c>
      <c r="U84" s="167">
        <f>B88/U77</f>
        <v>28.976661109788044</v>
      </c>
      <c r="V84" s="8"/>
    </row>
    <row r="85" spans="1:24" x14ac:dyDescent="0.2">
      <c r="A85" s="88" t="s">
        <v>24</v>
      </c>
      <c r="B85" s="126">
        <f>B72/B77</f>
        <v>85.317015140591209</v>
      </c>
      <c r="C85" s="126"/>
      <c r="D85" s="127">
        <f>D72/D77</f>
        <v>106.90472602739726</v>
      </c>
      <c r="E85" s="128"/>
      <c r="F85" s="128"/>
      <c r="G85" s="126"/>
      <c r="H85" s="166">
        <f t="shared" ref="H85:T85" si="34">H72/H77</f>
        <v>123.16786746460369</v>
      </c>
      <c r="I85" s="166">
        <f t="shared" si="34"/>
        <v>210.41540958027772</v>
      </c>
      <c r="J85" s="166">
        <f t="shared" si="34"/>
        <v>188.70133721354546</v>
      </c>
      <c r="K85" s="129">
        <f t="shared" si="34"/>
        <v>212.96131447963799</v>
      </c>
      <c r="L85" s="129">
        <f t="shared" si="34"/>
        <v>166.93968398773899</v>
      </c>
      <c r="M85" s="129">
        <f t="shared" si="34"/>
        <v>218.12201809954749</v>
      </c>
      <c r="N85" s="129">
        <f t="shared" si="34"/>
        <v>48.79184516858853</v>
      </c>
      <c r="O85" s="129">
        <f>O72/O77</f>
        <v>54.09264304481097</v>
      </c>
      <c r="P85" s="166">
        <f t="shared" si="34"/>
        <v>228.98330052790345</v>
      </c>
      <c r="Q85" s="166">
        <f t="shared" si="34"/>
        <v>246.4224297547803</v>
      </c>
      <c r="R85" s="166">
        <f t="shared" si="34"/>
        <v>349.33393024132732</v>
      </c>
      <c r="S85" s="166">
        <f t="shared" si="34"/>
        <v>92.89000930521091</v>
      </c>
      <c r="T85" s="166">
        <f t="shared" si="34"/>
        <v>186.52635107856139</v>
      </c>
      <c r="U85" s="167">
        <f>B72/U77</f>
        <v>140.90819242676827</v>
      </c>
      <c r="V85" s="8"/>
    </row>
    <row r="86" spans="1:24" x14ac:dyDescent="0.2">
      <c r="A86" s="88" t="s">
        <v>25</v>
      </c>
      <c r="B86" s="91">
        <f>433+4160</f>
        <v>4593</v>
      </c>
      <c r="C86" s="91"/>
      <c r="D86" s="92">
        <v>4300</v>
      </c>
      <c r="E86" s="93"/>
      <c r="F86" s="93"/>
      <c r="G86" s="91">
        <f>1588/3474</f>
        <v>0.45710995970063328</v>
      </c>
      <c r="H86" s="150">
        <f>'[1]jan 24'!E22</f>
        <v>158</v>
      </c>
      <c r="I86" s="150">
        <f>'[1]feb 24'!E22</f>
        <v>400</v>
      </c>
      <c r="J86" s="150">
        <f>'[1]mrt 24'!E22</f>
        <v>254</v>
      </c>
      <c r="K86" s="95">
        <f>'[1]apr 24'!E22</f>
        <v>326</v>
      </c>
      <c r="L86" s="95">
        <f>'[1]mei 24'!E22</f>
        <v>268</v>
      </c>
      <c r="M86" s="95">
        <f>'[1]juni 24'!E22</f>
        <v>354</v>
      </c>
      <c r="N86" s="168">
        <f>'[1]juli 24'!E22</f>
        <v>159</v>
      </c>
      <c r="O86" s="95">
        <f>'[1]aug 24'!E22</f>
        <v>211</v>
      </c>
      <c r="P86" s="150">
        <f>'[1]sep 24'!E22</f>
        <v>379</v>
      </c>
      <c r="Q86" s="151">
        <f>'[1]okt 24'!E22</f>
        <v>358</v>
      </c>
      <c r="R86" s="151">
        <f>'[1]nov 24'!E22</f>
        <v>626</v>
      </c>
      <c r="S86" s="151">
        <f>'[1]dec 24'!E22</f>
        <v>139</v>
      </c>
      <c r="T86" s="151">
        <f>'[1]Totaal 24'!E22</f>
        <v>3641</v>
      </c>
      <c r="U86" s="9">
        <f t="shared" ref="U86:U89" si="35">SUM(H86:S86)</f>
        <v>3632</v>
      </c>
      <c r="V86" s="8"/>
    </row>
    <row r="87" spans="1:24" x14ac:dyDescent="0.2">
      <c r="A87" s="88" t="s">
        <v>26</v>
      </c>
      <c r="B87" s="91">
        <v>1947</v>
      </c>
      <c r="C87" s="91"/>
      <c r="D87" s="92">
        <v>2766</v>
      </c>
      <c r="E87" s="93"/>
      <c r="F87" s="93"/>
      <c r="G87" s="91"/>
      <c r="H87" s="150">
        <f>'[1]jan 24'!F22</f>
        <v>134</v>
      </c>
      <c r="I87" s="150">
        <f>'[1]feb 24'!F22</f>
        <v>236</v>
      </c>
      <c r="J87" s="150">
        <f>'[1]mrt 24'!F22</f>
        <v>157</v>
      </c>
      <c r="K87" s="95">
        <f>'[1]apr 24'!F22</f>
        <v>258</v>
      </c>
      <c r="L87" s="95">
        <f>'[1]mei 24'!F22</f>
        <v>167</v>
      </c>
      <c r="M87" s="95">
        <f>'[1]juni 24'!F22</f>
        <v>259</v>
      </c>
      <c r="N87" s="168">
        <f>'[1]juli 24'!F22</f>
        <v>84</v>
      </c>
      <c r="O87" s="168">
        <f>'[1]aug 24'!F22</f>
        <v>95</v>
      </c>
      <c r="P87" s="150">
        <f>'[1]sep 24'!F22</f>
        <v>233</v>
      </c>
      <c r="Q87" s="151">
        <f>'[1]okt 24'!F22</f>
        <v>266</v>
      </c>
      <c r="R87" s="151">
        <f>'[1]nov 24'!F22</f>
        <v>371</v>
      </c>
      <c r="S87" s="151">
        <f>'[1]dec 24'!F22</f>
        <v>74</v>
      </c>
      <c r="T87" s="151">
        <f>'[1]Totaal 24'!F22</f>
        <v>2303</v>
      </c>
      <c r="U87" s="9">
        <f t="shared" si="35"/>
        <v>2334</v>
      </c>
      <c r="V87" s="8"/>
    </row>
    <row r="88" spans="1:24" x14ac:dyDescent="0.2">
      <c r="A88" s="88" t="s">
        <v>27</v>
      </c>
      <c r="B88" s="121">
        <f>30904+212442</f>
        <v>243346</v>
      </c>
      <c r="C88" s="141">
        <f>B88/B72</f>
        <v>0.20564213202044709</v>
      </c>
      <c r="D88" s="122">
        <v>278295</v>
      </c>
      <c r="E88" s="123"/>
      <c r="F88" s="123"/>
      <c r="G88" s="121"/>
      <c r="H88" s="143">
        <f>'[1]jan 24'!D26</f>
        <v>13657.96</v>
      </c>
      <c r="I88" s="143">
        <f>'[1]feb 24'!D26</f>
        <v>36995.300000000003</v>
      </c>
      <c r="J88" s="143">
        <f>'[1]mrt 24'!D26</f>
        <v>23887.94</v>
      </c>
      <c r="K88" s="90">
        <f>'[1]apr 24'!D26</f>
        <v>26739.45</v>
      </c>
      <c r="L88" s="90">
        <f>'[1]mei 24'!D26</f>
        <v>20567.28</v>
      </c>
      <c r="M88" s="90">
        <f>'[1]juni 24'!D26</f>
        <v>25272.57</v>
      </c>
      <c r="N88" s="143">
        <f>'[1]juli 24'!D26</f>
        <v>3247.94</v>
      </c>
      <c r="O88" s="143">
        <f>'[1]aug 24'!D26</f>
        <v>4050</v>
      </c>
      <c r="P88" s="143">
        <f>'[1]sep 24'!D26</f>
        <v>31606.880000000001</v>
      </c>
      <c r="Q88" s="143">
        <f>'[1]okt 24'!D26</f>
        <v>32125.94</v>
      </c>
      <c r="R88" s="143">
        <f>'[1]nov 24'!D26</f>
        <v>53820.639999999999</v>
      </c>
      <c r="S88" s="143">
        <f>'[1]dec 24'!D26</f>
        <v>10217.43</v>
      </c>
      <c r="T88" s="155">
        <f>'[1]Totaal 24'!D26</f>
        <v>282189.33</v>
      </c>
      <c r="U88" s="9">
        <f t="shared" si="35"/>
        <v>282189.33</v>
      </c>
      <c r="V88" s="8"/>
    </row>
    <row r="89" spans="1:24" x14ac:dyDescent="0.2">
      <c r="A89" s="88" t="s">
        <v>28</v>
      </c>
      <c r="B89" s="121">
        <f>96027+559076</f>
        <v>655103</v>
      </c>
      <c r="C89" s="141">
        <f>B89/B72</f>
        <v>0.55360177530344012</v>
      </c>
      <c r="D89" s="122">
        <v>856226</v>
      </c>
      <c r="E89" s="123"/>
      <c r="F89" s="123"/>
      <c r="G89" s="121"/>
      <c r="H89" s="143">
        <f>'[1]jan 24'!F26</f>
        <v>38853.21</v>
      </c>
      <c r="I89" s="143">
        <f>'[1]feb 24'!F26</f>
        <v>73288.06</v>
      </c>
      <c r="J89" s="143">
        <f>'[1]mrt 24'!F26</f>
        <v>61672.28</v>
      </c>
      <c r="K89" s="90">
        <f>'[1]apr 24'!F26</f>
        <v>68029.27</v>
      </c>
      <c r="L89" s="90">
        <f>'[1]mei 24'!F26</f>
        <v>54503.56</v>
      </c>
      <c r="M89" s="90">
        <f>'[1]juni 24'!F26</f>
        <v>71295.5</v>
      </c>
      <c r="N89" s="169">
        <f>'[1]juli 24'!F26</f>
        <v>15023.98</v>
      </c>
      <c r="O89" s="169">
        <f>'[1]aug 24'!F26</f>
        <v>16337.23</v>
      </c>
      <c r="P89" s="143">
        <f>'[1]sep 24'!F26</f>
        <v>76518.42</v>
      </c>
      <c r="Q89" s="155">
        <f>'[1]okt 24'!F26</f>
        <v>77481.78</v>
      </c>
      <c r="R89" s="155">
        <f>'[1]nov 24'!F26</f>
        <v>112850.19</v>
      </c>
      <c r="S89" s="155">
        <f>'[1]dec 24'!F26</f>
        <v>29914.25</v>
      </c>
      <c r="T89" s="155">
        <f>'[1]Totaal 24'!F26</f>
        <v>695767.72</v>
      </c>
      <c r="U89" s="9">
        <f t="shared" si="35"/>
        <v>695767.73</v>
      </c>
      <c r="V89" s="8"/>
    </row>
    <row r="90" spans="1:24" x14ac:dyDescent="0.2">
      <c r="A90" s="142" t="s">
        <v>44</v>
      </c>
      <c r="B90" s="121">
        <f>0.576*B89</f>
        <v>377339.32799999998</v>
      </c>
      <c r="C90" s="121"/>
      <c r="D90" s="122">
        <f>0.576*D89</f>
        <v>493186.17599999998</v>
      </c>
      <c r="E90" s="123"/>
      <c r="F90" s="123"/>
      <c r="G90" s="121"/>
      <c r="H90" s="90">
        <f>H89*0.67</f>
        <v>26031.650700000002</v>
      </c>
      <c r="I90" s="90">
        <f t="shared" ref="I90:T90" si="36">I89*0.67</f>
        <v>49103.000200000002</v>
      </c>
      <c r="J90" s="90">
        <f t="shared" si="36"/>
        <v>41320.427600000003</v>
      </c>
      <c r="K90" s="90">
        <f t="shared" si="36"/>
        <v>45579.610900000007</v>
      </c>
      <c r="L90" s="90">
        <f t="shared" si="36"/>
        <v>36517.385199999997</v>
      </c>
      <c r="M90" s="90">
        <f t="shared" si="36"/>
        <v>47767.985000000001</v>
      </c>
      <c r="N90" s="90">
        <f t="shared" si="36"/>
        <v>10066.0666</v>
      </c>
      <c r="O90" s="90">
        <f t="shared" si="36"/>
        <v>10945.944100000001</v>
      </c>
      <c r="P90" s="90">
        <f t="shared" si="36"/>
        <v>51267.341400000005</v>
      </c>
      <c r="Q90" s="90">
        <f t="shared" si="36"/>
        <v>51912.792600000001</v>
      </c>
      <c r="R90" s="90">
        <f t="shared" si="36"/>
        <v>75609.627300000007</v>
      </c>
      <c r="S90" s="90">
        <f t="shared" si="36"/>
        <v>20042.547500000001</v>
      </c>
      <c r="T90" s="90">
        <f t="shared" si="36"/>
        <v>466164.37239999999</v>
      </c>
      <c r="U90" s="8">
        <v>0.56699999999999995</v>
      </c>
      <c r="V90" s="8"/>
      <c r="W90" s="170">
        <f>'[1]Lonen 2023'!N134</f>
        <v>0</v>
      </c>
      <c r="X90" s="114">
        <f>W90/T90</f>
        <v>0</v>
      </c>
    </row>
    <row r="91" spans="1:24" x14ac:dyDescent="0.2">
      <c r="A91" s="142" t="s">
        <v>45</v>
      </c>
      <c r="B91" s="121">
        <f>0.433*B89</f>
        <v>283659.59899999999</v>
      </c>
      <c r="C91" s="121"/>
      <c r="D91" s="122">
        <f>0.433*D89</f>
        <v>370745.85800000001</v>
      </c>
      <c r="E91" s="123"/>
      <c r="F91" s="123"/>
      <c r="G91" s="121"/>
      <c r="H91" s="90">
        <f>H89*0.33</f>
        <v>12821.559300000001</v>
      </c>
      <c r="I91" s="90">
        <f t="shared" ref="I91:T91" si="37">I89*0.33</f>
        <v>24185.059799999999</v>
      </c>
      <c r="J91" s="90">
        <f t="shared" si="37"/>
        <v>20351.8524</v>
      </c>
      <c r="K91" s="90">
        <f t="shared" si="37"/>
        <v>22449.659100000001</v>
      </c>
      <c r="L91" s="90">
        <f t="shared" si="37"/>
        <v>17986.174800000001</v>
      </c>
      <c r="M91" s="90">
        <f t="shared" si="37"/>
        <v>23527.514999999999</v>
      </c>
      <c r="N91" s="90">
        <f t="shared" si="37"/>
        <v>4957.9134000000004</v>
      </c>
      <c r="O91" s="90">
        <f t="shared" si="37"/>
        <v>5391.2858999999999</v>
      </c>
      <c r="P91" s="90">
        <f t="shared" si="37"/>
        <v>25251.078600000001</v>
      </c>
      <c r="Q91" s="90">
        <f t="shared" si="37"/>
        <v>25568.987400000002</v>
      </c>
      <c r="R91" s="90">
        <f t="shared" si="37"/>
        <v>37240.562700000002</v>
      </c>
      <c r="S91" s="90">
        <f t="shared" si="37"/>
        <v>9871.7025000000012</v>
      </c>
      <c r="T91" s="90">
        <f t="shared" si="37"/>
        <v>229603.34760000001</v>
      </c>
      <c r="U91" s="8">
        <v>0.433</v>
      </c>
      <c r="V91" s="8"/>
      <c r="W91" s="170">
        <f>'[1]Lonen 2023'!N127</f>
        <v>0</v>
      </c>
      <c r="X91" s="114">
        <f>W91/T91</f>
        <v>0</v>
      </c>
    </row>
    <row r="92" spans="1:24" x14ac:dyDescent="0.2">
      <c r="A92" s="88" t="s">
        <v>31</v>
      </c>
      <c r="B92" s="121">
        <f>0.887*(46638+238258)</f>
        <v>252702.75200000001</v>
      </c>
      <c r="C92" s="141">
        <f>B92/B72</f>
        <v>0.21354915506609642</v>
      </c>
      <c r="D92" s="122">
        <v>363102</v>
      </c>
      <c r="E92" s="123"/>
      <c r="F92" s="123"/>
      <c r="G92" s="121"/>
      <c r="H92" s="90">
        <f>'[1]jan 24'!E26</f>
        <v>26345.8</v>
      </c>
      <c r="I92" s="90">
        <f>'[1]feb 24'!E26</f>
        <v>27694.03</v>
      </c>
      <c r="J92" s="90">
        <f>'[1]mrt 24'!E26</f>
        <v>31675.49</v>
      </c>
      <c r="K92" s="90">
        <f>'[1]apr 24'!E26</f>
        <v>38781.980000000003</v>
      </c>
      <c r="L92" s="90">
        <f>'[1]mei 24'!E26</f>
        <v>28665.78</v>
      </c>
      <c r="M92" s="90">
        <f>'[1]juni 24'!E26</f>
        <v>49481.440000000002</v>
      </c>
      <c r="N92" s="169">
        <f>'[1]juli 24'!E26</f>
        <v>15320.5</v>
      </c>
      <c r="O92" s="169">
        <f>'[1]aug 24'!E26</f>
        <v>12908.85</v>
      </c>
      <c r="P92" s="143">
        <f>'[1]sep 24'!E26</f>
        <v>38478.18</v>
      </c>
      <c r="Q92" s="155">
        <f>'[1]okt 24'!E26</f>
        <v>41288.85</v>
      </c>
      <c r="R92" s="155">
        <f>'[1]nov 24'!E26</f>
        <v>53280.37</v>
      </c>
      <c r="S92" s="155">
        <f>'[1]dec 24'!E26</f>
        <v>18034.47</v>
      </c>
      <c r="T92" s="155">
        <f>'[1]Totaal 24'!E26</f>
        <v>381955.74</v>
      </c>
      <c r="U92" s="9">
        <f t="shared" ref="U92:U93" si="38">SUM(H92:S92)</f>
        <v>381955.74</v>
      </c>
      <c r="V92" s="8"/>
      <c r="W92" s="35">
        <f>'[1]Lonen 2023'!N95+'[1]Lonen 2023'!N104+'[1]Lonen 2023'!N139</f>
        <v>2408.92</v>
      </c>
      <c r="X92" s="114">
        <f>W92/(T92+T93)</f>
        <v>4.0544780386338785E-3</v>
      </c>
    </row>
    <row r="93" spans="1:24" x14ac:dyDescent="0.2">
      <c r="A93" s="88" t="s">
        <v>32</v>
      </c>
      <c r="B93" s="121">
        <f>46638+238258-252703</f>
        <v>32193</v>
      </c>
      <c r="C93" s="121"/>
      <c r="D93" s="122">
        <v>68695</v>
      </c>
      <c r="E93" s="123"/>
      <c r="F93" s="123"/>
      <c r="G93" s="121"/>
      <c r="H93" s="90">
        <f>'[1]jan 24'!H26</f>
        <v>13616.78</v>
      </c>
      <c r="I93" s="90">
        <f>'[1]feb 24'!H26</f>
        <v>9809.17</v>
      </c>
      <c r="J93" s="90">
        <f>'[1]mrt 24'!H26</f>
        <v>24440.22</v>
      </c>
      <c r="K93" s="90">
        <f>'[1]apr 24'!H26</f>
        <v>21181.75</v>
      </c>
      <c r="L93" s="90">
        <f>'[1]mei 24'!H26</f>
        <v>21600.78</v>
      </c>
      <c r="M93" s="90">
        <f>'[1]juni 24'!H26</f>
        <v>12432.57</v>
      </c>
      <c r="N93" s="169">
        <f>'[1]juli 24'!H26</f>
        <v>3040.24</v>
      </c>
      <c r="O93" s="169">
        <f>'[1]aug 24'!H26</f>
        <v>7316.38</v>
      </c>
      <c r="P93" s="143">
        <f>'[1]sep 24'!H26</f>
        <v>19770.13</v>
      </c>
      <c r="Q93" s="155">
        <f>'[1]okt 24'!H26</f>
        <v>34116.050000000003</v>
      </c>
      <c r="R93" s="155">
        <f>'[1]nov 24'!H26</f>
        <v>33866.22</v>
      </c>
      <c r="S93" s="155">
        <f>'[1]dec 24'!H26</f>
        <v>11575.15</v>
      </c>
      <c r="T93" s="155">
        <f>'[1]Totaal 24'!H26</f>
        <v>212182.39</v>
      </c>
      <c r="U93" s="9">
        <f t="shared" si="38"/>
        <v>212765.44</v>
      </c>
      <c r="V93" s="8"/>
    </row>
    <row r="94" spans="1:24" x14ac:dyDescent="0.2">
      <c r="A94" s="88" t="s">
        <v>33</v>
      </c>
      <c r="B94" s="121">
        <v>512000</v>
      </c>
      <c r="C94" s="121"/>
      <c r="D94" s="122">
        <v>540000</v>
      </c>
      <c r="E94" s="123"/>
      <c r="F94" s="123"/>
      <c r="G94" s="121"/>
      <c r="H94" s="90">
        <f>'[1]Lonen 2024'!F55</f>
        <v>54539.63</v>
      </c>
      <c r="I94" s="174">
        <f>'[1]Lonen 2024'!H55</f>
        <v>55910.63</v>
      </c>
      <c r="J94" s="90">
        <f>'[1]Lonen 2024'!J55</f>
        <v>56319.63</v>
      </c>
      <c r="K94" s="90">
        <f>'[1]Lonen 2024'!L55</f>
        <v>58234.63</v>
      </c>
      <c r="L94" s="90">
        <f>'[1]Lonen 2024'!N55</f>
        <v>63911</v>
      </c>
      <c r="M94" s="90">
        <f>'[1]Lonen 2024'!P55</f>
        <v>52931.63</v>
      </c>
      <c r="N94" s="143">
        <f>'[1]Lonen 2024'!R55</f>
        <v>54098.63</v>
      </c>
      <c r="O94" s="143">
        <f>'[1]Lonen 2024'!T55</f>
        <v>54558.63</v>
      </c>
      <c r="P94" s="143">
        <f>'[1]Lonen 2024'!V55</f>
        <v>55349.63</v>
      </c>
      <c r="Q94" s="143">
        <f>'[1]Lonen 2024'!X55</f>
        <v>60847.63</v>
      </c>
      <c r="R94" s="143">
        <f>'[1]Lonen 2024'!Z55</f>
        <v>62159.63</v>
      </c>
      <c r="S94" s="143">
        <f>'[1]Lonen 2024'!AB55</f>
        <v>62786.63</v>
      </c>
      <c r="T94" s="143">
        <f>SUM(H94:S94)</f>
        <v>691647.93</v>
      </c>
      <c r="U94" s="8"/>
      <c r="V94" s="8"/>
    </row>
    <row r="95" spans="1:24" x14ac:dyDescent="0.2">
      <c r="A95" s="88" t="s">
        <v>34</v>
      </c>
      <c r="B95" s="102">
        <f>B94/B72</f>
        <v>0.43267105929199129</v>
      </c>
      <c r="C95" s="102"/>
      <c r="D95" s="103">
        <f>D94/D72</f>
        <v>0.3459744273642707</v>
      </c>
      <c r="E95" s="104"/>
      <c r="F95" s="104"/>
      <c r="G95" s="102"/>
      <c r="H95" s="171">
        <f t="shared" ref="H95:T95" si="39">H94/H72</f>
        <v>0.58978492925993276</v>
      </c>
      <c r="I95" s="171">
        <f t="shared" si="39"/>
        <v>0.37832012599792564</v>
      </c>
      <c r="J95" s="171">
        <f t="shared" si="39"/>
        <v>0.39752433599694742</v>
      </c>
      <c r="K95" s="171">
        <f t="shared" si="39"/>
        <v>0.37635695527065943</v>
      </c>
      <c r="L95" s="171">
        <f t="shared" si="39"/>
        <v>0.50991164648381093</v>
      </c>
      <c r="M95" s="171">
        <f t="shared" si="39"/>
        <v>0.33399126260836559</v>
      </c>
      <c r="N95" s="171">
        <f t="shared" si="39"/>
        <v>1.4767872376145323</v>
      </c>
      <c r="O95" s="171">
        <f t="shared" si="39"/>
        <v>1.3433963369862352</v>
      </c>
      <c r="P95" s="171">
        <f t="shared" si="39"/>
        <v>0.33268272938943083</v>
      </c>
      <c r="Q95" s="171">
        <f t="shared" si="39"/>
        <v>0.32888369068465118</v>
      </c>
      <c r="R95" s="171">
        <f t="shared" si="39"/>
        <v>0.24489899077848948</v>
      </c>
      <c r="S95" s="171">
        <f t="shared" si="39"/>
        <v>0.90027890213131934</v>
      </c>
      <c r="T95" s="172">
        <f t="shared" si="39"/>
        <v>0.43995295857371086</v>
      </c>
      <c r="U95" s="8"/>
      <c r="V95" s="8"/>
    </row>
    <row r="96" spans="1:24" x14ac:dyDescent="0.2">
      <c r="A96" s="88" t="s">
        <v>35</v>
      </c>
      <c r="B96" s="145">
        <v>10.199999999999999</v>
      </c>
      <c r="C96" s="145"/>
      <c r="D96" s="146">
        <v>12.5</v>
      </c>
      <c r="E96" s="147"/>
      <c r="F96" s="147"/>
      <c r="G96" s="145"/>
      <c r="H96" s="153">
        <v>12.05</v>
      </c>
      <c r="I96" s="153">
        <v>12.67</v>
      </c>
      <c r="J96" s="153">
        <v>13.21</v>
      </c>
      <c r="K96" s="153">
        <v>13.68</v>
      </c>
      <c r="L96" s="153">
        <v>12.91</v>
      </c>
      <c r="M96" s="153">
        <v>12.79</v>
      </c>
      <c r="N96" s="153">
        <v>10.92</v>
      </c>
      <c r="O96" s="153">
        <v>11.88</v>
      </c>
      <c r="P96" s="153">
        <v>12.55</v>
      </c>
      <c r="Q96" s="153">
        <v>12.95</v>
      </c>
      <c r="R96" s="153">
        <v>13.19</v>
      </c>
      <c r="S96" s="153">
        <v>12.05</v>
      </c>
      <c r="T96" s="153">
        <f>AVERAGE(H96:S96)</f>
        <v>12.570833333333335</v>
      </c>
      <c r="U96" s="8"/>
      <c r="V96" s="8"/>
    </row>
    <row r="97" spans="1:22" x14ac:dyDescent="0.2">
      <c r="A97" s="88" t="s">
        <v>36</v>
      </c>
      <c r="B97" s="121">
        <f>B94/B96</f>
        <v>50196.078431372553</v>
      </c>
      <c r="C97" s="121"/>
      <c r="D97" s="122">
        <f>D94/D96</f>
        <v>43200</v>
      </c>
      <c r="E97" s="123"/>
      <c r="F97" s="123"/>
      <c r="G97" s="121"/>
      <c r="H97" s="166">
        <f>H94/H96</f>
        <v>4526.110373443983</v>
      </c>
      <c r="I97" s="166">
        <f t="shared" ref="I97:T97" si="40">I94/I96</f>
        <v>4412.8358326756115</v>
      </c>
      <c r="J97" s="166">
        <f t="shared" si="40"/>
        <v>4263.4087812263433</v>
      </c>
      <c r="K97" s="166">
        <f t="shared" si="40"/>
        <v>4256.917397660819</v>
      </c>
      <c r="L97" s="166">
        <f t="shared" si="40"/>
        <v>4950.5034856700231</v>
      </c>
      <c r="M97" s="166">
        <f t="shared" si="40"/>
        <v>4138.516810007819</v>
      </c>
      <c r="N97" s="166">
        <f>N94/N96</f>
        <v>4954.086996336996</v>
      </c>
      <c r="O97" s="166">
        <f>O94/O96</f>
        <v>4592.4772727272721</v>
      </c>
      <c r="P97" s="166">
        <f t="shared" si="40"/>
        <v>4410.3290836653377</v>
      </c>
      <c r="Q97" s="166">
        <f t="shared" si="40"/>
        <v>4698.6586872586877</v>
      </c>
      <c r="R97" s="166">
        <f t="shared" si="40"/>
        <v>4712.6330553449579</v>
      </c>
      <c r="S97" s="166">
        <f t="shared" si="40"/>
        <v>5210.5087136929451</v>
      </c>
      <c r="T97" s="166">
        <f t="shared" si="40"/>
        <v>55020.054093470331</v>
      </c>
      <c r="U97" s="8"/>
      <c r="V97" s="8"/>
    </row>
    <row r="98" spans="1:22" x14ac:dyDescent="0.2">
      <c r="A98" s="88" t="s">
        <v>37</v>
      </c>
      <c r="B98" s="121">
        <f>B72/B96</f>
        <v>116014.41176470589</v>
      </c>
      <c r="C98" s="121"/>
      <c r="D98" s="122">
        <f>D72/D96</f>
        <v>124864.72</v>
      </c>
      <c r="E98" s="123"/>
      <c r="F98" s="123"/>
      <c r="G98" s="121"/>
      <c r="H98" s="166">
        <f t="shared" ref="H98:T98" si="41">H72/H96</f>
        <v>7674.1709543568459</v>
      </c>
      <c r="I98" s="166">
        <f t="shared" si="41"/>
        <v>11664.29044988161</v>
      </c>
      <c r="J98" s="166">
        <f t="shared" si="41"/>
        <v>10724.900075700225</v>
      </c>
      <c r="K98" s="166">
        <f t="shared" si="41"/>
        <v>11310.850877192983</v>
      </c>
      <c r="L98" s="166">
        <f t="shared" si="41"/>
        <v>9708.5515104570095</v>
      </c>
      <c r="M98" s="166">
        <f t="shared" si="41"/>
        <v>12391.093041438624</v>
      </c>
      <c r="N98" s="166">
        <f t="shared" si="41"/>
        <v>3354.6382783882786</v>
      </c>
      <c r="O98" s="166">
        <f t="shared" si="41"/>
        <v>3418.5572390572388</v>
      </c>
      <c r="P98" s="166">
        <f t="shared" si="41"/>
        <v>13256.862151394422</v>
      </c>
      <c r="Q98" s="166">
        <f t="shared" si="41"/>
        <v>14286.68803088803</v>
      </c>
      <c r="R98" s="166">
        <f t="shared" si="41"/>
        <v>19243.170583775591</v>
      </c>
      <c r="S98" s="166">
        <f t="shared" si="41"/>
        <v>5787.6605809128623</v>
      </c>
      <c r="T98" s="129">
        <f t="shared" si="41"/>
        <v>125058.94782896916</v>
      </c>
      <c r="U98" s="8"/>
      <c r="V98" s="8"/>
    </row>
    <row r="99" spans="1:22" x14ac:dyDescent="0.2">
      <c r="N99" s="152"/>
      <c r="O99" s="152"/>
      <c r="P99" s="152"/>
      <c r="Q99" s="152"/>
      <c r="R99" s="152"/>
      <c r="S99" s="152"/>
      <c r="T99" s="8"/>
      <c r="U99" s="8"/>
      <c r="V99" s="8"/>
    </row>
    <row r="100" spans="1:22" x14ac:dyDescent="0.2">
      <c r="A100" s="88" t="s">
        <v>49</v>
      </c>
      <c r="H100" s="90">
        <v>8363</v>
      </c>
    </row>
    <row r="101" spans="1:22" x14ac:dyDescent="0.2">
      <c r="A101" s="88" t="s">
        <v>50</v>
      </c>
      <c r="H101" s="90"/>
    </row>
    <row r="102" spans="1:22" x14ac:dyDescent="0.2">
      <c r="A102" s="88" t="s">
        <v>51</v>
      </c>
      <c r="H102" s="90"/>
    </row>
    <row r="103" spans="1:22" x14ac:dyDescent="0.2">
      <c r="A103" s="88" t="s">
        <v>52</v>
      </c>
      <c r="H103" s="90">
        <f>H100-H101-H102</f>
        <v>8363</v>
      </c>
    </row>
    <row r="105" spans="1:22" ht="27" x14ac:dyDescent="0.2">
      <c r="A105" s="85">
        <v>2025</v>
      </c>
      <c r="B105" s="91" t="s">
        <v>38</v>
      </c>
      <c r="C105" s="91"/>
      <c r="D105" s="92" t="s">
        <v>39</v>
      </c>
      <c r="E105" s="93"/>
      <c r="F105" s="112">
        <f>E93/38*24</f>
        <v>0</v>
      </c>
      <c r="G105" s="91"/>
      <c r="H105" s="86" t="s">
        <v>0</v>
      </c>
      <c r="I105" s="86" t="s">
        <v>1</v>
      </c>
      <c r="J105" s="86" t="s">
        <v>2</v>
      </c>
      <c r="K105" s="86" t="s">
        <v>3</v>
      </c>
      <c r="L105" s="86" t="s">
        <v>4</v>
      </c>
      <c r="M105" s="86" t="s">
        <v>46</v>
      </c>
      <c r="N105" s="173" t="s">
        <v>47</v>
      </c>
      <c r="O105" s="173" t="s">
        <v>7</v>
      </c>
      <c r="P105" s="173" t="s">
        <v>8</v>
      </c>
      <c r="Q105" s="173" t="s">
        <v>9</v>
      </c>
      <c r="R105" s="173" t="s">
        <v>10</v>
      </c>
      <c r="S105" s="173" t="s">
        <v>11</v>
      </c>
      <c r="T105" s="95" t="s">
        <v>40</v>
      </c>
      <c r="U105" s="95" t="s">
        <v>41</v>
      </c>
      <c r="V105" s="95"/>
    </row>
    <row r="106" spans="1:22" x14ac:dyDescent="0.2">
      <c r="A106" s="88" t="s">
        <v>53</v>
      </c>
      <c r="B106" s="91">
        <f>2736+515</f>
        <v>3251</v>
      </c>
      <c r="C106" s="91"/>
      <c r="D106" s="92">
        <v>3925</v>
      </c>
      <c r="E106" s="93"/>
      <c r="F106" s="93"/>
      <c r="G106" s="91"/>
      <c r="H106" s="95">
        <f>'[1]jan 25'!B11</f>
        <v>180</v>
      </c>
      <c r="I106" s="95">
        <f>'[1]febr 25'!B11</f>
        <v>216</v>
      </c>
      <c r="J106" s="95">
        <f>'[1]mrt 24'!B46</f>
        <v>0</v>
      </c>
      <c r="K106" s="95">
        <f>'[1]apr 24'!B46</f>
        <v>0</v>
      </c>
      <c r="L106" s="95">
        <f>'[1]mei 24'!B46</f>
        <v>0</v>
      </c>
      <c r="M106" s="95">
        <f>'[1]juni 24'!B46</f>
        <v>0</v>
      </c>
      <c r="N106" s="95">
        <f>'[1]juli 24'!B46</f>
        <v>0</v>
      </c>
      <c r="O106" s="95">
        <f>'[1]aug 24'!B46</f>
        <v>0</v>
      </c>
      <c r="P106" s="95">
        <f>'[1]sep 24'!B46</f>
        <v>0</v>
      </c>
      <c r="Q106" s="95">
        <f>'[1]okt 24'!B46</f>
        <v>0</v>
      </c>
      <c r="R106" s="95">
        <f>'[1]nov 24'!B46</f>
        <v>0</v>
      </c>
      <c r="S106" s="95">
        <f>'[1]dec 24'!B46</f>
        <v>0</v>
      </c>
      <c r="T106" s="95">
        <f>'[1]Totaal 24'!B47</f>
        <v>0</v>
      </c>
      <c r="U106" s="95">
        <f>SUM(H106:S106)</f>
        <v>396</v>
      </c>
      <c r="V106" s="95"/>
    </row>
    <row r="107" spans="1:22" x14ac:dyDescent="0.2">
      <c r="A107" s="88" t="s">
        <v>12</v>
      </c>
      <c r="B107" s="91">
        <f>10475+1910</f>
        <v>12385</v>
      </c>
      <c r="C107" s="91"/>
      <c r="D107" s="92">
        <v>18408</v>
      </c>
      <c r="E107" s="93"/>
      <c r="F107" s="93"/>
      <c r="G107" s="91"/>
      <c r="H107" s="95">
        <f>'[1]jan 25'!C11</f>
        <v>1333</v>
      </c>
      <c r="I107" s="95">
        <f>'[1]febr 25'!C11</f>
        <v>1092</v>
      </c>
      <c r="J107" s="95">
        <f>'[1]mrt 24'!C46</f>
        <v>0</v>
      </c>
      <c r="K107" s="95">
        <f>'[1]apr 24'!C46</f>
        <v>0</v>
      </c>
      <c r="L107" s="95">
        <f>'[1]mei 24'!C46</f>
        <v>0</v>
      </c>
      <c r="M107" s="95">
        <f>'[1]juni 24'!C46</f>
        <v>0</v>
      </c>
      <c r="N107" s="95">
        <f>'[1]juli 24'!C46</f>
        <v>0</v>
      </c>
      <c r="O107" s="95">
        <f>'[1]aug 24'!C46</f>
        <v>0</v>
      </c>
      <c r="P107" s="95">
        <f>'[1]sep 24'!C46</f>
        <v>0</v>
      </c>
      <c r="Q107" s="95">
        <f>'[1]okt 24'!C46</f>
        <v>0</v>
      </c>
      <c r="R107" s="95">
        <f>'[1]nov 24'!C46</f>
        <v>0</v>
      </c>
      <c r="S107" s="95">
        <f>'[1]dec 24'!C46</f>
        <v>0</v>
      </c>
      <c r="T107" s="95">
        <f>'[1]Totaal 24'!C47</f>
        <v>0</v>
      </c>
      <c r="U107" s="95">
        <f>SUM(H107:S107)</f>
        <v>2425</v>
      </c>
      <c r="V107" s="95"/>
    </row>
    <row r="108" spans="1:22" x14ac:dyDescent="0.2">
      <c r="A108" s="88" t="s">
        <v>13</v>
      </c>
      <c r="B108" s="115">
        <f>B107/B106</f>
        <v>3.8095970470624425</v>
      </c>
      <c r="C108" s="115"/>
      <c r="D108" s="116">
        <v>4.6500000000000004</v>
      </c>
      <c r="E108" s="117"/>
      <c r="F108" s="117"/>
      <c r="G108" s="115"/>
      <c r="H108" s="119">
        <f>'[1]jan 25'!D11</f>
        <v>7.41</v>
      </c>
      <c r="I108" s="119">
        <f>'[1]feb 24'!D46</f>
        <v>0</v>
      </c>
      <c r="J108" s="118">
        <f>'[1]mrt 24'!D46</f>
        <v>0</v>
      </c>
      <c r="K108" s="118">
        <f>'[1]apr 24'!D46</f>
        <v>0</v>
      </c>
      <c r="L108" s="118">
        <f>'[1]mei 24'!D46</f>
        <v>0</v>
      </c>
      <c r="M108" s="118">
        <f>'[1]juni 24'!D46</f>
        <v>0</v>
      </c>
      <c r="N108" s="118">
        <f>'[1]juli 24'!D46</f>
        <v>0</v>
      </c>
      <c r="O108" s="118">
        <f>'[1]aug 24'!D46</f>
        <v>0</v>
      </c>
      <c r="P108" s="118">
        <f>'[1]sep 24'!D46</f>
        <v>0</v>
      </c>
      <c r="Q108" s="118">
        <f>'[1]okt 24'!D46</f>
        <v>0</v>
      </c>
      <c r="R108" s="118">
        <f>'[1]nov 24'!D46</f>
        <v>0</v>
      </c>
      <c r="S108" s="118">
        <f>'[1]dec 24'!D46</f>
        <v>0</v>
      </c>
      <c r="T108" s="118">
        <f>'[1]Totaal 24'!D47</f>
        <v>0</v>
      </c>
      <c r="U108" s="118">
        <f>U107/U106</f>
        <v>6.1237373737373737</v>
      </c>
      <c r="V108" s="95"/>
    </row>
    <row r="109" spans="1:22" x14ac:dyDescent="0.2">
      <c r="A109" s="88" t="s">
        <v>14</v>
      </c>
      <c r="B109" s="121">
        <f>173570+1009777</f>
        <v>1183347</v>
      </c>
      <c r="C109" s="121"/>
      <c r="D109" s="122">
        <v>1560809</v>
      </c>
      <c r="E109" s="123"/>
      <c r="F109" s="123"/>
      <c r="G109" s="121"/>
      <c r="H109" s="90">
        <f>'[1]jan 25'!E11</f>
        <v>98660.03</v>
      </c>
      <c r="I109" s="90">
        <f>'[1]febr 25'!E11</f>
        <v>107234.13</v>
      </c>
      <c r="J109" s="90">
        <f>'[1]mrt 24'!E46</f>
        <v>0</v>
      </c>
      <c r="K109" s="90">
        <f>'[1]apr 24'!E46</f>
        <v>0</v>
      </c>
      <c r="L109" s="90">
        <f>'[1]mei 24'!E46</f>
        <v>0</v>
      </c>
      <c r="M109" s="90">
        <f>'[1]juni 24'!E46</f>
        <v>0</v>
      </c>
      <c r="N109" s="90">
        <f>'[1]juli 24'!E46</f>
        <v>0</v>
      </c>
      <c r="O109" s="90">
        <f>'[1]aug 24'!E46</f>
        <v>0</v>
      </c>
      <c r="P109" s="90">
        <f>'[1]sep 24'!E46</f>
        <v>0</v>
      </c>
      <c r="Q109" s="90">
        <f>'[1]okt 24'!E46</f>
        <v>0</v>
      </c>
      <c r="R109" s="90">
        <f>'[1]nov 24'!E46</f>
        <v>0</v>
      </c>
      <c r="S109" s="90">
        <f>'[1]dec 24'!E46</f>
        <v>0</v>
      </c>
      <c r="T109" s="90">
        <f>'[1]Totaal 24'!E47</f>
        <v>0</v>
      </c>
      <c r="U109" s="95">
        <f>SUM(H109:S109)</f>
        <v>205894.16</v>
      </c>
      <c r="V109" s="95"/>
    </row>
    <row r="110" spans="1:22" x14ac:dyDescent="0.2">
      <c r="A110" s="88" t="s">
        <v>15</v>
      </c>
      <c r="B110" s="126">
        <f>B109/B106</f>
        <v>363.99477083974159</v>
      </c>
      <c r="C110" s="126"/>
      <c r="D110" s="127">
        <v>396</v>
      </c>
      <c r="E110" s="128"/>
      <c r="F110" s="128"/>
      <c r="G110" s="126"/>
      <c r="H110" s="90">
        <f>'[1]jan 25'!F11</f>
        <v>548.11</v>
      </c>
      <c r="I110" s="90">
        <f>'[1]febr 25'!F11</f>
        <v>496.45</v>
      </c>
      <c r="J110" s="156">
        <f>'[1]mrt 24'!F46</f>
        <v>0</v>
      </c>
      <c r="K110" s="129">
        <f>'[1]apr 24'!F46</f>
        <v>0</v>
      </c>
      <c r="L110" s="129">
        <f>'[1]mei 24'!F46</f>
        <v>0</v>
      </c>
      <c r="M110" s="156">
        <f>'[1]juni 24'!F46</f>
        <v>0</v>
      </c>
      <c r="N110" s="95">
        <f>'[1]juli 24'!F46</f>
        <v>0</v>
      </c>
      <c r="O110" s="95">
        <f>'[1]aug 24'!F46</f>
        <v>0</v>
      </c>
      <c r="P110" s="95">
        <f>'[1]sep 24'!F46</f>
        <v>0</v>
      </c>
      <c r="Q110" s="95">
        <f>'[1]okt 24'!F46</f>
        <v>0</v>
      </c>
      <c r="R110" s="95">
        <f>'[1]nov 24'!F46</f>
        <v>0</v>
      </c>
      <c r="S110" s="95">
        <f>'[1]dec 24'!F46</f>
        <v>0</v>
      </c>
      <c r="T110" s="95">
        <f>'[1]Totaal 24'!F47</f>
        <v>0</v>
      </c>
      <c r="U110" s="95"/>
      <c r="V110" s="95"/>
    </row>
    <row r="111" spans="1:22" x14ac:dyDescent="0.2">
      <c r="A111" s="88" t="s">
        <v>16</v>
      </c>
      <c r="B111" s="126">
        <f>B109/B107</f>
        <v>95.546790472345577</v>
      </c>
      <c r="C111" s="126"/>
      <c r="D111" s="127">
        <v>85</v>
      </c>
      <c r="E111" s="128"/>
      <c r="F111" s="128"/>
      <c r="G111" s="126"/>
      <c r="H111" s="90">
        <f>'[1]jan 25'!H11</f>
        <v>74.010000000000005</v>
      </c>
      <c r="I111" s="90">
        <f>'[1]febr 25'!H11</f>
        <v>98.2</v>
      </c>
      <c r="J111" s="156">
        <f>'[1]mrt 24'!H46</f>
        <v>0</v>
      </c>
      <c r="K111" s="129">
        <f>'[1]apr 24'!H46</f>
        <v>0</v>
      </c>
      <c r="L111" s="129">
        <f>'[1]mei 24'!H46</f>
        <v>0</v>
      </c>
      <c r="M111" s="156">
        <f>'[1]juni 24'!H46</f>
        <v>0</v>
      </c>
      <c r="N111" s="95">
        <f>'[1]juli 24'!H46</f>
        <v>0</v>
      </c>
      <c r="O111" s="95">
        <f>'[1]aug 24'!H46</f>
        <v>0</v>
      </c>
      <c r="P111" s="95">
        <f>'[1]sep 24'!H46</f>
        <v>0</v>
      </c>
      <c r="Q111" s="95">
        <f>'[1]okt 24'!H46</f>
        <v>0</v>
      </c>
      <c r="R111" s="95">
        <f>'[1]nov 24'!H46</f>
        <v>0</v>
      </c>
      <c r="S111" s="95">
        <f>'[1]dec 24'!H46</f>
        <v>0</v>
      </c>
      <c r="T111" s="95">
        <f>'[1]Totaal 24'!H47</f>
        <v>0</v>
      </c>
      <c r="U111" s="95"/>
      <c r="V111" s="95"/>
    </row>
    <row r="112" spans="1:22" x14ac:dyDescent="0.2">
      <c r="B112" s="91"/>
      <c r="C112" s="91"/>
      <c r="D112" s="92"/>
      <c r="E112" s="93"/>
      <c r="F112" s="93"/>
      <c r="G112" s="91"/>
      <c r="I112" s="131"/>
      <c r="N112" s="95"/>
      <c r="O112" s="95"/>
      <c r="P112" s="95"/>
      <c r="Q112" s="95"/>
      <c r="R112" s="95"/>
      <c r="S112" s="95"/>
      <c r="T112" s="95"/>
      <c r="U112" s="95"/>
      <c r="V112" s="95"/>
    </row>
    <row r="113" spans="1:24" x14ac:dyDescent="0.2">
      <c r="A113" s="88" t="s">
        <v>17</v>
      </c>
      <c r="B113" s="91"/>
      <c r="C113" s="91"/>
      <c r="D113" s="92"/>
      <c r="E113" s="93"/>
      <c r="F113" s="93"/>
      <c r="G113" s="91"/>
      <c r="H113" s="95">
        <f>1240</f>
        <v>1240</v>
      </c>
      <c r="I113" s="95">
        <v>1120</v>
      </c>
      <c r="J113" s="95">
        <f>1240</f>
        <v>1240</v>
      </c>
      <c r="K113" s="95">
        <v>1200</v>
      </c>
      <c r="L113" s="95">
        <f>1240</f>
        <v>1240</v>
      </c>
      <c r="M113" s="95">
        <v>1200</v>
      </c>
      <c r="N113" s="95">
        <f>1240</f>
        <v>1240</v>
      </c>
      <c r="O113" s="95">
        <f>1240</f>
        <v>1240</v>
      </c>
      <c r="P113" s="150">
        <v>1200</v>
      </c>
      <c r="Q113" s="95">
        <f>1240</f>
        <v>1240</v>
      </c>
      <c r="R113" s="150">
        <v>1200</v>
      </c>
      <c r="S113" s="95">
        <f>1240</f>
        <v>1240</v>
      </c>
      <c r="T113" s="151">
        <v>13920</v>
      </c>
      <c r="U113" s="9">
        <f>SUM(H113:S113)</f>
        <v>14600</v>
      </c>
      <c r="V113" s="8"/>
    </row>
    <row r="114" spans="1:24" x14ac:dyDescent="0.2">
      <c r="A114" s="88" t="s">
        <v>18</v>
      </c>
      <c r="B114" s="91">
        <v>13870</v>
      </c>
      <c r="C114" s="91"/>
      <c r="D114" s="92">
        <v>14600</v>
      </c>
      <c r="E114" s="93"/>
      <c r="F114" s="93"/>
      <c r="G114" s="94"/>
      <c r="H114" s="95">
        <f>1240*221/365</f>
        <v>750.79452054794524</v>
      </c>
      <c r="I114" s="95">
        <f>1160*221/365</f>
        <v>702.35616438356169</v>
      </c>
      <c r="J114" s="95">
        <f>1240*221/365</f>
        <v>750.79452054794524</v>
      </c>
      <c r="K114" s="95">
        <f>1200*221/365</f>
        <v>726.57534246575347</v>
      </c>
      <c r="L114" s="95">
        <f>1240*221/365</f>
        <v>750.79452054794524</v>
      </c>
      <c r="M114" s="95">
        <f>1200*221/365</f>
        <v>726.57534246575347</v>
      </c>
      <c r="N114" s="95">
        <f>1240*221/365</f>
        <v>750.79452054794524</v>
      </c>
      <c r="O114" s="95">
        <f>1240*221/365</f>
        <v>750.79452054794524</v>
      </c>
      <c r="P114" s="95">
        <f>1200*221/365</f>
        <v>726.57534246575347</v>
      </c>
      <c r="Q114" s="95">
        <f>1240*221/365</f>
        <v>750.79452054794524</v>
      </c>
      <c r="R114" s="95">
        <f>1200*221/365</f>
        <v>726.57534246575347</v>
      </c>
      <c r="S114" s="95">
        <f>1240*221/365</f>
        <v>750.79452054794524</v>
      </c>
      <c r="T114" s="151">
        <f>T113*221/365</f>
        <v>8428.2739726027394</v>
      </c>
      <c r="U114" s="8">
        <f>221*38</f>
        <v>8398</v>
      </c>
      <c r="V114" s="8"/>
    </row>
    <row r="115" spans="1:24" s="184" customFormat="1" x14ac:dyDescent="0.2">
      <c r="A115" s="180" t="s">
        <v>84</v>
      </c>
      <c r="B115" s="181"/>
      <c r="C115" s="181"/>
      <c r="D115" s="181"/>
      <c r="E115" s="181"/>
      <c r="F115" s="181"/>
      <c r="G115" s="181"/>
      <c r="H115" s="182">
        <v>597</v>
      </c>
      <c r="I115" s="182">
        <v>539</v>
      </c>
      <c r="J115" s="182">
        <v>597</v>
      </c>
      <c r="K115" s="182">
        <v>578</v>
      </c>
      <c r="L115" s="182">
        <v>597</v>
      </c>
      <c r="M115" s="182">
        <v>578</v>
      </c>
      <c r="N115" s="182">
        <v>597</v>
      </c>
      <c r="O115" s="182">
        <v>597</v>
      </c>
      <c r="P115" s="182">
        <v>578</v>
      </c>
      <c r="Q115" s="183">
        <v>597</v>
      </c>
      <c r="R115" s="182">
        <v>578</v>
      </c>
      <c r="S115" s="183">
        <v>597</v>
      </c>
      <c r="T115" s="183">
        <f>SUM(H115:S115)</f>
        <v>7030</v>
      </c>
    </row>
    <row r="116" spans="1:24" x14ac:dyDescent="0.2">
      <c r="A116" s="88" t="s">
        <v>19</v>
      </c>
      <c r="B116" s="134">
        <f>B109/B123</f>
        <v>257.64141084258654</v>
      </c>
      <c r="C116" s="134"/>
      <c r="D116" s="135">
        <v>330</v>
      </c>
      <c r="E116" s="112"/>
      <c r="F116" s="112"/>
      <c r="G116" s="134"/>
      <c r="H116" s="175">
        <f>H125/H123</f>
        <v>91.322111111111113</v>
      </c>
      <c r="I116" s="175">
        <f t="shared" ref="I116:J116" si="42">I125/I123</f>
        <v>85.344961832061074</v>
      </c>
      <c r="J116" s="175" t="e">
        <f t="shared" si="42"/>
        <v>#DIV/0!</v>
      </c>
      <c r="K116" s="176" t="e">
        <f>K125/K123</f>
        <v>#DIV/0!</v>
      </c>
      <c r="L116" s="176" t="e">
        <f t="shared" ref="L116:N116" si="43">L125/L123</f>
        <v>#DIV/0!</v>
      </c>
      <c r="M116" s="176" t="e">
        <f t="shared" si="43"/>
        <v>#DIV/0!</v>
      </c>
      <c r="N116" s="176" t="e">
        <f t="shared" si="43"/>
        <v>#DIV/0!</v>
      </c>
      <c r="O116" s="176" t="e">
        <f>O125/O124</f>
        <v>#DIV/0!</v>
      </c>
      <c r="P116" s="175" t="e">
        <f t="shared" ref="P116:T116" si="44">P125/P123</f>
        <v>#DIV/0!</v>
      </c>
      <c r="Q116" s="175" t="e">
        <f t="shared" si="44"/>
        <v>#DIV/0!</v>
      </c>
      <c r="R116" s="175" t="e">
        <f t="shared" si="44"/>
        <v>#DIV/0!</v>
      </c>
      <c r="S116" s="175" t="e">
        <f t="shared" si="44"/>
        <v>#DIV/0!</v>
      </c>
      <c r="T116" s="175" t="e">
        <f t="shared" si="44"/>
        <v>#DIV/0!</v>
      </c>
      <c r="U116" s="8"/>
      <c r="V116" s="8"/>
    </row>
    <row r="117" spans="1:24" x14ac:dyDescent="0.2">
      <c r="A117" s="88" t="s">
        <v>20</v>
      </c>
      <c r="B117" s="134"/>
      <c r="C117" s="134"/>
      <c r="D117" s="135"/>
      <c r="E117" s="112"/>
      <c r="F117" s="112"/>
      <c r="G117" s="134"/>
      <c r="H117" s="177">
        <f t="shared" ref="H117:N117" si="45">H123/H113</f>
        <v>7.2580645161290328E-2</v>
      </c>
      <c r="I117" s="177">
        <f t="shared" si="45"/>
        <v>0.23392857142857143</v>
      </c>
      <c r="J117" s="177">
        <f t="shared" si="45"/>
        <v>0</v>
      </c>
      <c r="K117" s="177">
        <f t="shared" si="45"/>
        <v>0</v>
      </c>
      <c r="L117" s="177">
        <f t="shared" si="45"/>
        <v>0</v>
      </c>
      <c r="M117" s="177">
        <f t="shared" si="45"/>
        <v>0</v>
      </c>
      <c r="N117" s="177">
        <f t="shared" si="45"/>
        <v>0</v>
      </c>
      <c r="O117" s="177">
        <f>O124/O113</f>
        <v>0</v>
      </c>
      <c r="P117" s="177">
        <f t="shared" ref="P117:R117" si="46">P123/P113</f>
        <v>0</v>
      </c>
      <c r="Q117" s="177">
        <f t="shared" si="46"/>
        <v>0</v>
      </c>
      <c r="R117" s="177">
        <f t="shared" si="46"/>
        <v>0</v>
      </c>
      <c r="S117" s="177">
        <f>S123/S113</f>
        <v>0</v>
      </c>
      <c r="T117" s="177">
        <f>AVERAGE(G117:J117)</f>
        <v>0.10216973886328724</v>
      </c>
      <c r="U117" s="8"/>
      <c r="V117" s="8"/>
    </row>
    <row r="118" spans="1:24" x14ac:dyDescent="0.2">
      <c r="A118" s="88" t="s">
        <v>21</v>
      </c>
      <c r="B118" s="102">
        <f>B123/B114</f>
        <v>0.33114635904830569</v>
      </c>
      <c r="C118" s="102"/>
      <c r="D118" s="103">
        <v>0.28999999999999998</v>
      </c>
      <c r="E118" s="104"/>
      <c r="F118" s="104"/>
      <c r="G118" s="102"/>
      <c r="H118" s="177">
        <f>H123/H114</f>
        <v>0.11987301123923515</v>
      </c>
      <c r="I118" s="177">
        <f t="shared" ref="I118:N118" si="47">I123/I114</f>
        <v>0.37303011390232482</v>
      </c>
      <c r="J118" s="177">
        <f t="shared" si="47"/>
        <v>0</v>
      </c>
      <c r="K118" s="177">
        <f t="shared" si="47"/>
        <v>0</v>
      </c>
      <c r="L118" s="177">
        <f t="shared" si="47"/>
        <v>0</v>
      </c>
      <c r="M118" s="177">
        <f t="shared" si="47"/>
        <v>0</v>
      </c>
      <c r="N118" s="177">
        <f t="shared" si="47"/>
        <v>0</v>
      </c>
      <c r="O118" s="177">
        <f>O124/O114</f>
        <v>0</v>
      </c>
      <c r="P118" s="177">
        <f>P123/P114</f>
        <v>0</v>
      </c>
      <c r="Q118" s="177">
        <f t="shared" ref="Q118:S118" si="48">Q123/Q114</f>
        <v>0</v>
      </c>
      <c r="R118" s="177">
        <f t="shared" si="48"/>
        <v>0</v>
      </c>
      <c r="S118" s="177">
        <f t="shared" si="48"/>
        <v>0</v>
      </c>
      <c r="T118" s="177">
        <f>AVERAGE(G118:J118)</f>
        <v>0.16430104171385332</v>
      </c>
      <c r="U118" s="165">
        <f>B123/U114</f>
        <v>0.54691593236484881</v>
      </c>
      <c r="V118" s="8"/>
    </row>
    <row r="119" spans="1:24" s="184" customFormat="1" x14ac:dyDescent="0.2">
      <c r="A119" s="180" t="s">
        <v>83</v>
      </c>
      <c r="B119" s="187"/>
      <c r="C119" s="187"/>
      <c r="D119" s="187"/>
      <c r="E119" s="187"/>
      <c r="F119" s="187"/>
      <c r="G119" s="187"/>
      <c r="H119" s="188">
        <f>H123/H115</f>
        <v>0.15075376884422109</v>
      </c>
      <c r="I119" s="188">
        <f>I123/I115</f>
        <v>0.48608534322820035</v>
      </c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90"/>
    </row>
    <row r="120" spans="1:24" x14ac:dyDescent="0.2">
      <c r="A120" s="88" t="s">
        <v>22</v>
      </c>
      <c r="B120" s="126">
        <f>B125/B123</f>
        <v>52.981929022425433</v>
      </c>
      <c r="C120" s="126"/>
      <c r="D120" s="127">
        <v>62</v>
      </c>
      <c r="E120" s="128"/>
      <c r="F120" s="128"/>
      <c r="G120" s="126"/>
      <c r="H120" s="176">
        <f t="shared" ref="H120:N120" si="49">H125/H123</f>
        <v>91.322111111111113</v>
      </c>
      <c r="I120" s="176">
        <f t="shared" si="49"/>
        <v>85.344961832061074</v>
      </c>
      <c r="J120" s="176" t="e">
        <f t="shared" si="49"/>
        <v>#DIV/0!</v>
      </c>
      <c r="K120" s="176" t="e">
        <f t="shared" si="49"/>
        <v>#DIV/0!</v>
      </c>
      <c r="L120" s="176" t="e">
        <f t="shared" si="49"/>
        <v>#DIV/0!</v>
      </c>
      <c r="M120" s="176" t="e">
        <f t="shared" si="49"/>
        <v>#DIV/0!</v>
      </c>
      <c r="N120" s="176" t="e">
        <f t="shared" si="49"/>
        <v>#DIV/0!</v>
      </c>
      <c r="O120" s="176" t="e">
        <f>O125/O124</f>
        <v>#DIV/0!</v>
      </c>
      <c r="P120" s="176" t="e">
        <f t="shared" ref="P120:Q120" si="50">P125/P123</f>
        <v>#DIV/0!</v>
      </c>
      <c r="Q120" s="176" t="e">
        <f t="shared" si="50"/>
        <v>#DIV/0!</v>
      </c>
      <c r="R120" s="176" t="e">
        <f>R125/R123</f>
        <v>#DIV/0!</v>
      </c>
      <c r="S120" s="176" t="e">
        <f t="shared" ref="S120" si="51">S125/S123</f>
        <v>#DIV/0!</v>
      </c>
      <c r="T120" s="177"/>
      <c r="U120" s="8"/>
      <c r="V120" s="8"/>
    </row>
    <row r="121" spans="1:24" x14ac:dyDescent="0.2">
      <c r="A121" s="88" t="s">
        <v>23</v>
      </c>
      <c r="B121" s="126">
        <f>B125/B114</f>
        <v>17.544772891131938</v>
      </c>
      <c r="C121" s="126"/>
      <c r="D121" s="127">
        <v>18</v>
      </c>
      <c r="E121" s="128"/>
      <c r="F121" s="128"/>
      <c r="G121" s="126"/>
      <c r="H121" s="176">
        <f>H125/H114</f>
        <v>10.947056451612902</v>
      </c>
      <c r="I121" s="176">
        <f t="shared" ref="I121:N121" si="52">I125/I114</f>
        <v>31.836240833203306</v>
      </c>
      <c r="J121" s="176">
        <f t="shared" si="52"/>
        <v>0</v>
      </c>
      <c r="K121" s="176">
        <f t="shared" si="52"/>
        <v>0</v>
      </c>
      <c r="L121" s="176">
        <f t="shared" si="52"/>
        <v>0</v>
      </c>
      <c r="M121" s="176">
        <f t="shared" si="52"/>
        <v>0</v>
      </c>
      <c r="N121" s="176">
        <f t="shared" si="52"/>
        <v>0</v>
      </c>
      <c r="O121" s="176">
        <f>O125/O114</f>
        <v>0</v>
      </c>
      <c r="P121" s="176">
        <f t="shared" ref="P121:T121" si="53">P125/P114</f>
        <v>0</v>
      </c>
      <c r="Q121" s="176">
        <f t="shared" si="53"/>
        <v>0</v>
      </c>
      <c r="R121" s="176">
        <f t="shared" si="53"/>
        <v>0</v>
      </c>
      <c r="S121" s="176">
        <f t="shared" si="53"/>
        <v>0</v>
      </c>
      <c r="T121" s="176">
        <f t="shared" si="53"/>
        <v>0</v>
      </c>
      <c r="U121" s="167">
        <f>B125/U114</f>
        <v>28.976661109788044</v>
      </c>
      <c r="V121" s="8"/>
    </row>
    <row r="122" spans="1:24" x14ac:dyDescent="0.2">
      <c r="A122" s="88" t="s">
        <v>24</v>
      </c>
      <c r="B122" s="126">
        <f>B109/B114</f>
        <v>85.317015140591209</v>
      </c>
      <c r="C122" s="126"/>
      <c r="D122" s="127">
        <f>D109/D114</f>
        <v>106.90472602739726</v>
      </c>
      <c r="E122" s="128"/>
      <c r="F122" s="128"/>
      <c r="G122" s="126"/>
      <c r="H122" s="176">
        <f t="shared" ref="H122:N122" si="54">H109/H114</f>
        <v>131.40749872281418</v>
      </c>
      <c r="I122" s="176">
        <f t="shared" si="54"/>
        <v>152.67770888594166</v>
      </c>
      <c r="J122" s="176">
        <f t="shared" si="54"/>
        <v>0</v>
      </c>
      <c r="K122" s="176">
        <f t="shared" si="54"/>
        <v>0</v>
      </c>
      <c r="L122" s="176">
        <f t="shared" si="54"/>
        <v>0</v>
      </c>
      <c r="M122" s="176">
        <f t="shared" si="54"/>
        <v>0</v>
      </c>
      <c r="N122" s="176">
        <f t="shared" si="54"/>
        <v>0</v>
      </c>
      <c r="O122" s="176">
        <f>O109/O114</f>
        <v>0</v>
      </c>
      <c r="P122" s="176">
        <f t="shared" ref="P122:T122" si="55">P109/P114</f>
        <v>0</v>
      </c>
      <c r="Q122" s="176">
        <f t="shared" si="55"/>
        <v>0</v>
      </c>
      <c r="R122" s="176">
        <f t="shared" si="55"/>
        <v>0</v>
      </c>
      <c r="S122" s="176">
        <f t="shared" si="55"/>
        <v>0</v>
      </c>
      <c r="T122" s="176">
        <f t="shared" si="55"/>
        <v>0</v>
      </c>
      <c r="U122" s="167">
        <f>B109/U114</f>
        <v>140.90819242676827</v>
      </c>
      <c r="V122" s="8"/>
    </row>
    <row r="123" spans="1:24" x14ac:dyDescent="0.2">
      <c r="A123" s="88" t="s">
        <v>25</v>
      </c>
      <c r="B123" s="91">
        <f>433+4160</f>
        <v>4593</v>
      </c>
      <c r="C123" s="91"/>
      <c r="D123" s="92">
        <v>4300</v>
      </c>
      <c r="E123" s="93"/>
      <c r="F123" s="93"/>
      <c r="G123" s="91">
        <f>1588/3474</f>
        <v>0.45710995970063328</v>
      </c>
      <c r="H123" s="150">
        <f>'[1]jan 25'!E22</f>
        <v>90</v>
      </c>
      <c r="I123" s="150">
        <f>'[1]febr 25'!E22</f>
        <v>262</v>
      </c>
      <c r="J123" s="150">
        <f>'[1]mrt 24'!E57</f>
        <v>0</v>
      </c>
      <c r="K123" s="95">
        <f>'[1]apr 24'!E57</f>
        <v>0</v>
      </c>
      <c r="L123" s="95">
        <f>'[1]mei 24'!E57</f>
        <v>0</v>
      </c>
      <c r="M123" s="95">
        <f>'[1]juni 24'!E57</f>
        <v>0</v>
      </c>
      <c r="N123" s="168">
        <f>'[1]juli 24'!E57</f>
        <v>0</v>
      </c>
      <c r="O123" s="95">
        <f>'[1]aug 24'!E57</f>
        <v>0</v>
      </c>
      <c r="P123" s="150">
        <f>'[1]sep 24'!E57</f>
        <v>0</v>
      </c>
      <c r="Q123" s="151">
        <f>'[1]okt 24'!E57</f>
        <v>0</v>
      </c>
      <c r="R123" s="151">
        <f>'[1]nov 24'!E57</f>
        <v>0</v>
      </c>
      <c r="S123" s="151">
        <f>'[1]dec 24'!E57</f>
        <v>0</v>
      </c>
      <c r="T123" s="151">
        <f>'[1]Totaal 24'!E58</f>
        <v>0</v>
      </c>
      <c r="U123" s="9">
        <f t="shared" ref="U123:U126" si="56">SUM(H123:S123)</f>
        <v>352</v>
      </c>
      <c r="V123" s="8"/>
    </row>
    <row r="124" spans="1:24" x14ac:dyDescent="0.2">
      <c r="A124" s="88" t="s">
        <v>26</v>
      </c>
      <c r="B124" s="91">
        <v>1947</v>
      </c>
      <c r="C124" s="91"/>
      <c r="D124" s="92">
        <v>2766</v>
      </c>
      <c r="E124" s="93"/>
      <c r="F124" s="93"/>
      <c r="G124" s="91"/>
      <c r="H124" s="150">
        <f>'[1]jan 25'!H22</f>
        <v>91</v>
      </c>
      <c r="I124" s="150">
        <f>'[1]febr 25'!F22</f>
        <v>137</v>
      </c>
      <c r="J124" s="150">
        <f>'[1]mrt 24'!F57</f>
        <v>0</v>
      </c>
      <c r="K124" s="95">
        <f>'[1]apr 24'!F57</f>
        <v>0</v>
      </c>
      <c r="L124" s="95">
        <f>'[1]mei 24'!F57</f>
        <v>0</v>
      </c>
      <c r="M124" s="95">
        <f>'[1]juni 24'!F57</f>
        <v>0</v>
      </c>
      <c r="N124" s="168">
        <f>'[1]juli 24'!F57</f>
        <v>0</v>
      </c>
      <c r="O124" s="168">
        <f>'[1]aug 24'!F57</f>
        <v>0</v>
      </c>
      <c r="P124" s="150">
        <f>'[1]sep 24'!F57</f>
        <v>0</v>
      </c>
      <c r="Q124" s="151">
        <f>'[1]okt 24'!F57</f>
        <v>0</v>
      </c>
      <c r="R124" s="151">
        <f>'[1]nov 24'!F57</f>
        <v>0</v>
      </c>
      <c r="S124" s="151">
        <f>'[1]dec 24'!F57</f>
        <v>0</v>
      </c>
      <c r="T124" s="151">
        <f>'[1]Totaal 24'!F58</f>
        <v>0</v>
      </c>
      <c r="U124" s="9">
        <f t="shared" si="56"/>
        <v>228</v>
      </c>
      <c r="V124" s="8"/>
    </row>
    <row r="125" spans="1:24" x14ac:dyDescent="0.2">
      <c r="A125" s="88" t="s">
        <v>27</v>
      </c>
      <c r="B125" s="121">
        <f>30904+212442</f>
        <v>243346</v>
      </c>
      <c r="C125" s="141">
        <f>B125/B109</f>
        <v>0.20564213202044709</v>
      </c>
      <c r="D125" s="122">
        <v>278295</v>
      </c>
      <c r="E125" s="123"/>
      <c r="F125" s="123"/>
      <c r="G125" s="121"/>
      <c r="H125" s="143">
        <f>'[1]jan 25'!D26</f>
        <v>8218.99</v>
      </c>
      <c r="I125" s="143">
        <f>'[1]febr 25'!D26</f>
        <v>22360.38</v>
      </c>
      <c r="J125" s="143">
        <f>'[1]mrt 24'!D61</f>
        <v>0</v>
      </c>
      <c r="K125" s="90">
        <f>'[1]apr 24'!D61</f>
        <v>0</v>
      </c>
      <c r="L125" s="90">
        <f>'[1]mei 24'!D61</f>
        <v>0</v>
      </c>
      <c r="M125" s="90">
        <f>'[1]juni 24'!D61</f>
        <v>0</v>
      </c>
      <c r="N125" s="143">
        <f>'[1]juli 24'!D61</f>
        <v>0</v>
      </c>
      <c r="O125" s="143">
        <f>'[1]aug 24'!D61</f>
        <v>0</v>
      </c>
      <c r="P125" s="143">
        <f>'[1]sep 24'!D61</f>
        <v>0</v>
      </c>
      <c r="Q125" s="143">
        <f>'[1]okt 24'!D61</f>
        <v>0</v>
      </c>
      <c r="R125" s="143">
        <f>'[1]nov 24'!D61</f>
        <v>0</v>
      </c>
      <c r="S125" s="143">
        <f>'[1]dec 24'!D61</f>
        <v>0</v>
      </c>
      <c r="T125" s="155">
        <f>'[1]Totaal 24'!D62</f>
        <v>0</v>
      </c>
      <c r="U125" s="9">
        <f t="shared" si="56"/>
        <v>30579.370000000003</v>
      </c>
      <c r="V125" s="8"/>
    </row>
    <row r="126" spans="1:24" x14ac:dyDescent="0.2">
      <c r="A126" s="88" t="s">
        <v>28</v>
      </c>
      <c r="B126" s="121">
        <f>96027+559076</f>
        <v>655103</v>
      </c>
      <c r="C126" s="141">
        <f>B126/B109</f>
        <v>0.55360177530344012</v>
      </c>
      <c r="D126" s="122">
        <v>856226</v>
      </c>
      <c r="E126" s="123"/>
      <c r="F126" s="123"/>
      <c r="G126" s="121"/>
      <c r="H126" s="143">
        <f>'[1]jan 25'!F26</f>
        <v>47252.19</v>
      </c>
      <c r="I126" s="143">
        <f>'[1]febr 25'!F26</f>
        <v>47737.91</v>
      </c>
      <c r="J126" s="143">
        <f>'[1]mrt 24'!F61</f>
        <v>0</v>
      </c>
      <c r="K126" s="90">
        <f>'[1]apr 24'!F61</f>
        <v>0</v>
      </c>
      <c r="L126" s="90">
        <f>'[1]mei 24'!F61</f>
        <v>0</v>
      </c>
      <c r="M126" s="90">
        <f>'[1]juni 24'!F61</f>
        <v>0</v>
      </c>
      <c r="N126" s="169">
        <f>'[1]juli 24'!F61</f>
        <v>0</v>
      </c>
      <c r="O126" s="169">
        <f>'[1]aug 24'!F61</f>
        <v>0</v>
      </c>
      <c r="P126" s="143"/>
      <c r="Q126" s="155"/>
      <c r="R126" s="155"/>
      <c r="S126" s="155"/>
      <c r="T126" s="155">
        <f>'[1]Totaal 24'!F62</f>
        <v>19362.18</v>
      </c>
      <c r="U126" s="9">
        <f t="shared" si="56"/>
        <v>94990.1</v>
      </c>
      <c r="V126" s="8"/>
    </row>
    <row r="127" spans="1:24" x14ac:dyDescent="0.2">
      <c r="A127" s="142" t="s">
        <v>29</v>
      </c>
      <c r="B127" s="121">
        <f>0.576*B126</f>
        <v>377339.32799999998</v>
      </c>
      <c r="C127" s="121"/>
      <c r="D127" s="122">
        <f>0.576*D126</f>
        <v>493186.17599999998</v>
      </c>
      <c r="E127" s="123"/>
      <c r="F127" s="123"/>
      <c r="G127" s="121"/>
      <c r="H127" s="178">
        <f>H126*0.567</f>
        <v>26791.991729999998</v>
      </c>
      <c r="I127" s="178">
        <f>I126*0.567</f>
        <v>27067.394970000001</v>
      </c>
      <c r="J127" s="178">
        <f>J126*0.567</f>
        <v>0</v>
      </c>
      <c r="K127" s="178">
        <f>K126*0.567</f>
        <v>0</v>
      </c>
      <c r="L127" s="178">
        <f t="shared" ref="L127:T127" si="57">L126*0.567</f>
        <v>0</v>
      </c>
      <c r="M127" s="178">
        <f t="shared" si="57"/>
        <v>0</v>
      </c>
      <c r="N127" s="178">
        <f t="shared" si="57"/>
        <v>0</v>
      </c>
      <c r="O127" s="178">
        <f t="shared" si="57"/>
        <v>0</v>
      </c>
      <c r="P127" s="178">
        <f t="shared" si="57"/>
        <v>0</v>
      </c>
      <c r="Q127" s="178">
        <f t="shared" si="57"/>
        <v>0</v>
      </c>
      <c r="R127" s="178">
        <f t="shared" si="57"/>
        <v>0</v>
      </c>
      <c r="S127" s="178">
        <f t="shared" si="57"/>
        <v>0</v>
      </c>
      <c r="T127" s="178">
        <f t="shared" si="57"/>
        <v>10978.35606</v>
      </c>
      <c r="U127" s="8">
        <v>0.56699999999999995</v>
      </c>
      <c r="V127" s="8"/>
      <c r="W127" s="170">
        <f>'[1]Lonen 2023'!N169</f>
        <v>0</v>
      </c>
      <c r="X127" s="114">
        <f>W127/T127</f>
        <v>0</v>
      </c>
    </row>
    <row r="128" spans="1:24" x14ac:dyDescent="0.2">
      <c r="A128" s="142" t="s">
        <v>30</v>
      </c>
      <c r="B128" s="121">
        <f>0.433*B126</f>
        <v>283659.59899999999</v>
      </c>
      <c r="C128" s="121"/>
      <c r="D128" s="122">
        <f>0.433*D126</f>
        <v>370745.85800000001</v>
      </c>
      <c r="E128" s="123"/>
      <c r="F128" s="123"/>
      <c r="G128" s="121"/>
      <c r="H128" s="178">
        <f>H126*0.433</f>
        <v>20460.198270000001</v>
      </c>
      <c r="I128" s="178">
        <f>I126*0.433</f>
        <v>20670.515030000002</v>
      </c>
      <c r="J128" s="178">
        <f>J126*0.433</f>
        <v>0</v>
      </c>
      <c r="K128" s="178">
        <f>K126*0.433</f>
        <v>0</v>
      </c>
      <c r="L128" s="178">
        <f t="shared" ref="L128:T128" si="58">L126*0.433</f>
        <v>0</v>
      </c>
      <c r="M128" s="178">
        <f t="shared" si="58"/>
        <v>0</v>
      </c>
      <c r="N128" s="178">
        <f t="shared" si="58"/>
        <v>0</v>
      </c>
      <c r="O128" s="178">
        <f t="shared" si="58"/>
        <v>0</v>
      </c>
      <c r="P128" s="178">
        <f t="shared" si="58"/>
        <v>0</v>
      </c>
      <c r="Q128" s="178">
        <f t="shared" si="58"/>
        <v>0</v>
      </c>
      <c r="R128" s="178">
        <f t="shared" si="58"/>
        <v>0</v>
      </c>
      <c r="S128" s="178">
        <f t="shared" si="58"/>
        <v>0</v>
      </c>
      <c r="T128" s="178">
        <f t="shared" si="58"/>
        <v>8383.8239400000002</v>
      </c>
      <c r="U128" s="8">
        <v>0.433</v>
      </c>
      <c r="V128" s="8"/>
      <c r="W128" s="170">
        <f>'[1]Lonen 2023'!N162</f>
        <v>0</v>
      </c>
      <c r="X128" s="114">
        <f>W128/T128</f>
        <v>0</v>
      </c>
    </row>
    <row r="129" spans="1:24" x14ac:dyDescent="0.2">
      <c r="A129" s="88" t="s">
        <v>31</v>
      </c>
      <c r="B129" s="121">
        <f>0.887*(46638+238258)</f>
        <v>252702.75200000001</v>
      </c>
      <c r="C129" s="141">
        <f>B129/B109</f>
        <v>0.21354915506609642</v>
      </c>
      <c r="D129" s="122">
        <v>363102</v>
      </c>
      <c r="E129" s="123"/>
      <c r="F129" s="123"/>
      <c r="G129" s="121"/>
      <c r="H129" s="90">
        <f>'[1]jan 25'!E26</f>
        <v>33143.11</v>
      </c>
      <c r="I129" s="90">
        <f>'[1]febr 25'!E26</f>
        <v>25116.71</v>
      </c>
      <c r="J129" s="90">
        <f>'[1]mrt 24'!E61</f>
        <v>0</v>
      </c>
      <c r="K129" s="90">
        <f>'[1]apr 24'!E61</f>
        <v>0</v>
      </c>
      <c r="L129" s="90">
        <f>'[1]mei 24'!E61</f>
        <v>0</v>
      </c>
      <c r="M129" s="90">
        <f>'[1]juni 24'!E61</f>
        <v>0</v>
      </c>
      <c r="N129" s="169">
        <f>'[1]juli 24'!E61</f>
        <v>0</v>
      </c>
      <c r="O129" s="169">
        <f>'[1]aug 24'!E61</f>
        <v>0</v>
      </c>
      <c r="P129" s="143">
        <f>'[1]sep 24'!E61</f>
        <v>0</v>
      </c>
      <c r="Q129" s="155">
        <f>'[1]okt 24'!E61</f>
        <v>0</v>
      </c>
      <c r="R129" s="155">
        <f>'[1]nov 24'!E61</f>
        <v>0</v>
      </c>
      <c r="S129" s="155">
        <f>'[1]dec 24'!E61</f>
        <v>0</v>
      </c>
      <c r="T129" s="155">
        <f>'[1]Totaal 24'!E62</f>
        <v>0</v>
      </c>
      <c r="U129" s="9">
        <f t="shared" ref="U129:U130" si="59">SUM(H129:S129)</f>
        <v>58259.82</v>
      </c>
      <c r="V129" s="8"/>
      <c r="W129" s="35">
        <f>'[1]Lonen 2023'!N130+'[1]Lonen 2023'!N139+'[1]Lonen 2023'!N174</f>
        <v>0</v>
      </c>
      <c r="X129" s="114">
        <f>W129/(T129+T130)</f>
        <v>0</v>
      </c>
    </row>
    <row r="130" spans="1:24" x14ac:dyDescent="0.2">
      <c r="A130" s="88" t="s">
        <v>32</v>
      </c>
      <c r="B130" s="121">
        <f>46638+238258-252703</f>
        <v>32193</v>
      </c>
      <c r="C130" s="121"/>
      <c r="D130" s="122">
        <v>68695</v>
      </c>
      <c r="E130" s="123"/>
      <c r="F130" s="123"/>
      <c r="G130" s="121"/>
      <c r="H130" s="90">
        <f>'[1]jan 25'!H26</f>
        <v>10045.75</v>
      </c>
      <c r="I130" s="90">
        <f>'[1]febr 25'!H26</f>
        <v>12019.14</v>
      </c>
      <c r="J130" s="90">
        <f>'[1]mrt 24'!H61</f>
        <v>0</v>
      </c>
      <c r="K130" s="90">
        <f>'[1]apr 24'!H61</f>
        <v>0</v>
      </c>
      <c r="L130" s="90">
        <f>'[1]mei 24'!H61</f>
        <v>0</v>
      </c>
      <c r="M130" s="90">
        <f>'[1]juni 24'!H61</f>
        <v>0</v>
      </c>
      <c r="N130" s="169">
        <f>'[1]juli 24'!H61</f>
        <v>0</v>
      </c>
      <c r="O130" s="169">
        <f>'[1]aug 24'!H61</f>
        <v>0</v>
      </c>
      <c r="P130" s="143">
        <f>'[1]sep 24'!H61</f>
        <v>0</v>
      </c>
      <c r="Q130" s="155">
        <f>'[1]okt 24'!H61</f>
        <v>0</v>
      </c>
      <c r="R130" s="155">
        <f>'[1]nov 24'!H61</f>
        <v>0</v>
      </c>
      <c r="S130" s="155">
        <f>'[1]dec 24'!H61</f>
        <v>0</v>
      </c>
      <c r="T130" s="155">
        <f>'[1]Totaal 24'!H62</f>
        <v>237929.49</v>
      </c>
      <c r="U130" s="9">
        <f t="shared" si="59"/>
        <v>22064.89</v>
      </c>
      <c r="V130" s="8"/>
    </row>
    <row r="131" spans="1:24" x14ac:dyDescent="0.2">
      <c r="A131" s="88" t="s">
        <v>33</v>
      </c>
      <c r="B131" s="121">
        <v>512000</v>
      </c>
      <c r="C131" s="121"/>
      <c r="D131" s="122">
        <v>540000</v>
      </c>
      <c r="E131" s="123"/>
      <c r="F131" s="123"/>
      <c r="G131" s="121"/>
      <c r="H131" s="90">
        <f>'[1]Lonen 2025'!F50</f>
        <v>62565.320000000014</v>
      </c>
      <c r="I131" s="174">
        <f>'[1]Lonen 2025'!H50</f>
        <v>63017.970000000016</v>
      </c>
      <c r="J131" s="90" t="e">
        <f>'[1]Lonen 2024'!#REF!</f>
        <v>#REF!</v>
      </c>
      <c r="K131" s="90" t="e">
        <f>'[1]Lonen 2024'!#REF!</f>
        <v>#REF!</v>
      </c>
      <c r="L131" s="90" t="e">
        <f>'[1]Lonen 2024'!#REF!</f>
        <v>#REF!</v>
      </c>
      <c r="M131" s="90" t="e">
        <f>'[1]Lonen 2024'!#REF!</f>
        <v>#REF!</v>
      </c>
      <c r="N131" s="143" t="e">
        <f>'[1]Lonen 2024'!#REF!</f>
        <v>#REF!</v>
      </c>
      <c r="O131" s="143" t="e">
        <f>'[1]Lonen 2024'!#REF!</f>
        <v>#REF!</v>
      </c>
      <c r="P131" s="143" t="e">
        <f>'[1]Lonen 2024'!#REF!</f>
        <v>#REF!</v>
      </c>
      <c r="Q131" s="143" t="e">
        <f>'[1]Lonen 2024'!#REF!</f>
        <v>#REF!</v>
      </c>
      <c r="R131" s="143" t="e">
        <f>'[1]Lonen 2024'!#REF!</f>
        <v>#REF!</v>
      </c>
      <c r="S131" s="143" t="e">
        <f>'[1]Lonen 2024'!#REF!</f>
        <v>#REF!</v>
      </c>
      <c r="T131" s="143" t="e">
        <f>SUM(H131:S131)</f>
        <v>#REF!</v>
      </c>
      <c r="U131" s="8"/>
      <c r="V131" s="8"/>
    </row>
    <row r="132" spans="1:24" x14ac:dyDescent="0.2">
      <c r="A132" s="88" t="s">
        <v>34</v>
      </c>
      <c r="B132" s="102">
        <f>B131/B109</f>
        <v>0.43267105929199129</v>
      </c>
      <c r="C132" s="102"/>
      <c r="D132" s="103">
        <f>D131/D109</f>
        <v>0.3459744273642707</v>
      </c>
      <c r="E132" s="104"/>
      <c r="F132" s="104"/>
      <c r="G132" s="102"/>
      <c r="H132" s="179">
        <f t="shared" ref="H132:T132" si="60">H131/H109</f>
        <v>0.63415062817232082</v>
      </c>
      <c r="I132" s="179">
        <f t="shared" si="60"/>
        <v>0.58766709815242602</v>
      </c>
      <c r="J132" s="179" t="e">
        <f t="shared" si="60"/>
        <v>#REF!</v>
      </c>
      <c r="K132" s="179" t="e">
        <f t="shared" si="60"/>
        <v>#REF!</v>
      </c>
      <c r="L132" s="179" t="e">
        <f t="shared" si="60"/>
        <v>#REF!</v>
      </c>
      <c r="M132" s="179" t="e">
        <f t="shared" si="60"/>
        <v>#REF!</v>
      </c>
      <c r="N132" s="179" t="e">
        <f t="shared" si="60"/>
        <v>#REF!</v>
      </c>
      <c r="O132" s="179" t="e">
        <f t="shared" si="60"/>
        <v>#REF!</v>
      </c>
      <c r="P132" s="179" t="e">
        <f t="shared" si="60"/>
        <v>#REF!</v>
      </c>
      <c r="Q132" s="179" t="e">
        <f t="shared" si="60"/>
        <v>#REF!</v>
      </c>
      <c r="R132" s="179" t="e">
        <f t="shared" si="60"/>
        <v>#REF!</v>
      </c>
      <c r="S132" s="179" t="e">
        <f t="shared" si="60"/>
        <v>#REF!</v>
      </c>
      <c r="T132" s="172" t="e">
        <f t="shared" si="60"/>
        <v>#REF!</v>
      </c>
      <c r="U132" s="8"/>
      <c r="V132" s="8"/>
    </row>
    <row r="133" spans="1:24" x14ac:dyDescent="0.2">
      <c r="A133" s="88" t="s">
        <v>35</v>
      </c>
      <c r="B133" s="145">
        <v>10.199999999999999</v>
      </c>
      <c r="C133" s="145"/>
      <c r="D133" s="146">
        <v>12.5</v>
      </c>
      <c r="E133" s="147"/>
      <c r="F133" s="147"/>
      <c r="G133" s="145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19"/>
      <c r="S133" s="119"/>
      <c r="T133" s="153"/>
      <c r="U133" s="8"/>
      <c r="V133" s="8"/>
    </row>
    <row r="134" spans="1:24" x14ac:dyDescent="0.2">
      <c r="A134" s="88" t="s">
        <v>36</v>
      </c>
      <c r="B134" s="121">
        <f>B131/B133</f>
        <v>50196.078431372553</v>
      </c>
      <c r="C134" s="121"/>
      <c r="D134" s="122">
        <f>D131/D133</f>
        <v>43200</v>
      </c>
      <c r="E134" s="123"/>
      <c r="F134" s="123"/>
      <c r="G134" s="121"/>
      <c r="H134" s="176" t="e">
        <f>H131/H133</f>
        <v>#DIV/0!</v>
      </c>
      <c r="I134" s="176" t="e">
        <f t="shared" ref="I134:M134" si="61">I131/I133</f>
        <v>#DIV/0!</v>
      </c>
      <c r="J134" s="176" t="e">
        <f t="shared" si="61"/>
        <v>#REF!</v>
      </c>
      <c r="K134" s="176" t="e">
        <f t="shared" si="61"/>
        <v>#REF!</v>
      </c>
      <c r="L134" s="176" t="e">
        <f t="shared" si="61"/>
        <v>#REF!</v>
      </c>
      <c r="M134" s="176" t="e">
        <f t="shared" si="61"/>
        <v>#REF!</v>
      </c>
      <c r="N134" s="176" t="e">
        <f>N131/N133</f>
        <v>#REF!</v>
      </c>
      <c r="O134" s="176" t="e">
        <f>O131/O133</f>
        <v>#REF!</v>
      </c>
      <c r="P134" s="176" t="e">
        <f t="shared" ref="P134:T134" si="62">P131/P133</f>
        <v>#REF!</v>
      </c>
      <c r="Q134" s="176" t="e">
        <f t="shared" si="62"/>
        <v>#REF!</v>
      </c>
      <c r="R134" s="176" t="e">
        <f t="shared" si="62"/>
        <v>#REF!</v>
      </c>
      <c r="S134" s="176" t="e">
        <f t="shared" si="62"/>
        <v>#REF!</v>
      </c>
      <c r="T134" s="166" t="e">
        <f t="shared" si="62"/>
        <v>#REF!</v>
      </c>
      <c r="U134" s="8"/>
      <c r="V134" s="8"/>
    </row>
    <row r="135" spans="1:24" x14ac:dyDescent="0.2">
      <c r="A135" s="88" t="s">
        <v>37</v>
      </c>
      <c r="B135" s="121">
        <f>B109/B133</f>
        <v>116014.41176470589</v>
      </c>
      <c r="C135" s="121"/>
      <c r="D135" s="122">
        <f>D109/D133</f>
        <v>124864.72</v>
      </c>
      <c r="E135" s="123"/>
      <c r="F135" s="123"/>
      <c r="G135" s="121"/>
      <c r="H135" s="176" t="e">
        <f t="shared" ref="H135:L135" si="63">H109/H133</f>
        <v>#DIV/0!</v>
      </c>
      <c r="I135" s="176" t="e">
        <f t="shared" si="63"/>
        <v>#DIV/0!</v>
      </c>
      <c r="J135" s="176" t="e">
        <f t="shared" si="63"/>
        <v>#DIV/0!</v>
      </c>
      <c r="K135" s="176" t="e">
        <f t="shared" si="63"/>
        <v>#DIV/0!</v>
      </c>
      <c r="L135" s="176" t="e">
        <f t="shared" si="63"/>
        <v>#DIV/0!</v>
      </c>
      <c r="M135" s="176" t="e">
        <f>M109/M133</f>
        <v>#DIV/0!</v>
      </c>
      <c r="N135" s="176" t="e">
        <f t="shared" ref="N135:T135" si="64">N109/N133</f>
        <v>#DIV/0!</v>
      </c>
      <c r="O135" s="176" t="e">
        <f t="shared" si="64"/>
        <v>#DIV/0!</v>
      </c>
      <c r="P135" s="176" t="e">
        <f t="shared" si="64"/>
        <v>#DIV/0!</v>
      </c>
      <c r="Q135" s="176" t="e">
        <f t="shared" si="64"/>
        <v>#DIV/0!</v>
      </c>
      <c r="R135" s="176" t="e">
        <f t="shared" si="64"/>
        <v>#DIV/0!</v>
      </c>
      <c r="S135" s="176" t="e">
        <f t="shared" si="64"/>
        <v>#DIV/0!</v>
      </c>
      <c r="T135" s="129" t="e">
        <f t="shared" si="64"/>
        <v>#DIV/0!</v>
      </c>
      <c r="U135" s="8"/>
      <c r="V135" s="8"/>
    </row>
    <row r="136" spans="1:24" x14ac:dyDescent="0.2">
      <c r="N136" s="152"/>
      <c r="O136" s="152"/>
      <c r="P136" s="152"/>
      <c r="Q136" s="152"/>
      <c r="R136" s="152"/>
      <c r="S136" s="152"/>
      <c r="T136" s="8"/>
      <c r="U136" s="8"/>
      <c r="V136" s="8"/>
    </row>
    <row r="137" spans="1:24" x14ac:dyDescent="0.2">
      <c r="A137" s="88" t="s">
        <v>49</v>
      </c>
      <c r="H137" s="90">
        <v>8363</v>
      </c>
    </row>
    <row r="138" spans="1:24" x14ac:dyDescent="0.2">
      <c r="A138" s="88" t="s">
        <v>50</v>
      </c>
      <c r="H138" s="90"/>
    </row>
    <row r="139" spans="1:24" x14ac:dyDescent="0.2">
      <c r="A139" s="88" t="s">
        <v>51</v>
      </c>
      <c r="H139" s="90"/>
    </row>
    <row r="140" spans="1:24" x14ac:dyDescent="0.2">
      <c r="A140" s="88" t="s">
        <v>52</v>
      </c>
      <c r="H140" s="90">
        <f>H137-H138-H139</f>
        <v>8363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1"/>
  <sheetViews>
    <sheetView tabSelected="1" topLeftCell="A10" zoomScale="81" zoomScaleNormal="140" workbookViewId="0">
      <selection activeCell="A86" sqref="A86"/>
    </sheetView>
  </sheetViews>
  <sheetFormatPr baseColWidth="10" defaultColWidth="8.83203125" defaultRowHeight="15" x14ac:dyDescent="0.2"/>
  <cols>
    <col min="1" max="1" width="19.33203125" customWidth="1"/>
    <col min="2" max="2" width="8.83203125" bestFit="1" customWidth="1"/>
    <col min="3" max="6" width="10.5" customWidth="1"/>
    <col min="7" max="7" width="10.6640625" customWidth="1"/>
    <col min="8" max="9" width="9.5" bestFit="1" customWidth="1"/>
    <col min="10" max="10" width="10.33203125" customWidth="1"/>
    <col min="11" max="12" width="9.83203125" bestFit="1" customWidth="1"/>
    <col min="13" max="13" width="11.1640625" customWidth="1"/>
    <col min="14" max="14" width="11.5" customWidth="1"/>
    <col min="15" max="15" width="9.83203125" bestFit="1" customWidth="1"/>
  </cols>
  <sheetData>
    <row r="1" spans="1:15" ht="19" x14ac:dyDescent="0.25">
      <c r="A1" s="1"/>
      <c r="B1" s="2"/>
      <c r="C1" s="2"/>
      <c r="D1" s="2"/>
      <c r="E1" s="2"/>
      <c r="F1" s="2"/>
      <c r="G1" s="2"/>
    </row>
    <row r="2" spans="1:15" ht="16" x14ac:dyDescent="0.2">
      <c r="A2" s="3" t="s">
        <v>54</v>
      </c>
      <c r="B2" s="4" t="s">
        <v>0</v>
      </c>
      <c r="C2" s="5" t="s">
        <v>1</v>
      </c>
      <c r="D2" s="4" t="s">
        <v>4</v>
      </c>
      <c r="E2" s="4" t="s">
        <v>47</v>
      </c>
      <c r="F2" s="5" t="s">
        <v>7</v>
      </c>
      <c r="G2" s="4" t="s">
        <v>11</v>
      </c>
    </row>
    <row r="3" spans="1:15" x14ac:dyDescent="0.2">
      <c r="A3" s="5" t="s">
        <v>55</v>
      </c>
      <c r="B3" s="6" t="s">
        <v>56</v>
      </c>
      <c r="C3" s="6"/>
      <c r="D3" s="6" t="s">
        <v>56</v>
      </c>
      <c r="E3" s="6" t="s">
        <v>57</v>
      </c>
      <c r="F3" s="6" t="s">
        <v>57</v>
      </c>
      <c r="G3" s="6" t="s">
        <v>56</v>
      </c>
    </row>
    <row r="4" spans="1:15" x14ac:dyDescent="0.2">
      <c r="A4" s="5" t="s">
        <v>58</v>
      </c>
      <c r="B4" s="6" t="s">
        <v>56</v>
      </c>
      <c r="C4" s="6"/>
      <c r="D4" s="6" t="s">
        <v>56</v>
      </c>
      <c r="E4" s="6" t="s">
        <v>57</v>
      </c>
      <c r="F4" s="6" t="s">
        <v>57</v>
      </c>
      <c r="G4" s="6" t="s">
        <v>56</v>
      </c>
    </row>
    <row r="5" spans="1:15" x14ac:dyDescent="0.2">
      <c r="A5" s="5" t="s">
        <v>59</v>
      </c>
      <c r="B5" s="6" t="s">
        <v>56</v>
      </c>
      <c r="C5" s="6"/>
      <c r="D5" s="6" t="s">
        <v>56</v>
      </c>
      <c r="E5" s="6" t="s">
        <v>57</v>
      </c>
      <c r="F5" s="6" t="s">
        <v>57</v>
      </c>
      <c r="G5" s="6" t="s">
        <v>56</v>
      </c>
    </row>
    <row r="6" spans="1:15" x14ac:dyDescent="0.2">
      <c r="A6" s="5" t="s">
        <v>60</v>
      </c>
      <c r="B6" s="6" t="s">
        <v>56</v>
      </c>
      <c r="C6" s="6"/>
      <c r="D6" s="6" t="s">
        <v>56</v>
      </c>
      <c r="E6" s="6" t="s">
        <v>57</v>
      </c>
      <c r="F6" s="6" t="s">
        <v>57</v>
      </c>
      <c r="G6" s="6" t="s">
        <v>56</v>
      </c>
    </row>
    <row r="7" spans="1:15" x14ac:dyDescent="0.2">
      <c r="A7" s="5" t="s">
        <v>61</v>
      </c>
      <c r="B7" s="7" t="s">
        <v>62</v>
      </c>
      <c r="C7" s="7" t="s">
        <v>62</v>
      </c>
      <c r="D7" s="6" t="s">
        <v>56</v>
      </c>
      <c r="E7" s="6" t="s">
        <v>57</v>
      </c>
      <c r="F7" s="6" t="s">
        <v>57</v>
      </c>
      <c r="G7" s="6" t="s">
        <v>56</v>
      </c>
    </row>
    <row r="8" spans="1:15" x14ac:dyDescent="0.2">
      <c r="A8" s="8"/>
      <c r="B8" s="9"/>
      <c r="C8" s="9"/>
      <c r="D8" s="10"/>
      <c r="E8" s="10"/>
      <c r="F8" s="10"/>
    </row>
    <row r="9" spans="1:15" x14ac:dyDescent="0.2">
      <c r="A9" s="8" t="s">
        <v>63</v>
      </c>
      <c r="B9" s="9"/>
      <c r="C9" s="9"/>
      <c r="D9" s="10"/>
      <c r="E9" s="10"/>
      <c r="F9" s="10"/>
    </row>
    <row r="10" spans="1:15" x14ac:dyDescent="0.2">
      <c r="A10" s="8" t="s">
        <v>64</v>
      </c>
      <c r="B10" s="9"/>
      <c r="C10" s="9"/>
      <c r="D10" s="10"/>
      <c r="E10" s="10"/>
      <c r="F10" s="10"/>
    </row>
    <row r="11" spans="1:15" ht="16" x14ac:dyDescent="0.2">
      <c r="A11" s="197" t="s">
        <v>54</v>
      </c>
      <c r="B11" s="198">
        <v>2021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2">
        <v>2022</v>
      </c>
      <c r="O11" s="13"/>
    </row>
    <row r="12" spans="1:15" x14ac:dyDescent="0.2">
      <c r="A12" s="197"/>
      <c r="B12" s="14" t="s">
        <v>0</v>
      </c>
      <c r="C12" s="14" t="s">
        <v>1</v>
      </c>
      <c r="D12" s="14" t="s">
        <v>2</v>
      </c>
      <c r="E12" s="14" t="s">
        <v>3</v>
      </c>
      <c r="F12" s="14" t="s">
        <v>4</v>
      </c>
      <c r="G12" s="14" t="s">
        <v>46</v>
      </c>
      <c r="H12" s="14" t="s">
        <v>47</v>
      </c>
      <c r="I12" s="14" t="s">
        <v>7</v>
      </c>
      <c r="J12" s="14" t="s">
        <v>8</v>
      </c>
      <c r="K12" s="14" t="s">
        <v>9</v>
      </c>
      <c r="L12" s="14" t="s">
        <v>10</v>
      </c>
      <c r="M12" s="14" t="s">
        <v>11</v>
      </c>
      <c r="N12" s="12" t="s">
        <v>40</v>
      </c>
      <c r="O12" s="13"/>
    </row>
    <row r="13" spans="1:15" x14ac:dyDescent="0.2">
      <c r="A13" s="15" t="s">
        <v>61</v>
      </c>
      <c r="B13" s="16" t="s">
        <v>65</v>
      </c>
      <c r="C13" s="16" t="s">
        <v>65</v>
      </c>
      <c r="D13" s="17">
        <v>0.17</v>
      </c>
      <c r="E13" s="17">
        <v>0.45</v>
      </c>
      <c r="F13" s="17">
        <v>0.44</v>
      </c>
      <c r="G13" s="17">
        <v>0.7</v>
      </c>
      <c r="H13" s="16" t="s">
        <v>65</v>
      </c>
      <c r="I13" s="16" t="s">
        <v>65</v>
      </c>
      <c r="J13" s="16">
        <v>0.74</v>
      </c>
      <c r="K13" s="16">
        <v>0.69</v>
      </c>
      <c r="L13" s="16">
        <v>0.7</v>
      </c>
      <c r="M13" s="18">
        <v>0.19</v>
      </c>
      <c r="N13" s="19">
        <f>AVERAGE(D13:M13)</f>
        <v>0.51</v>
      </c>
      <c r="O13" s="20"/>
    </row>
    <row r="14" spans="1:15" x14ac:dyDescent="0.2">
      <c r="A14" s="15" t="s">
        <v>55</v>
      </c>
      <c r="B14" s="16" t="s">
        <v>65</v>
      </c>
      <c r="C14" s="16" t="s">
        <v>65</v>
      </c>
      <c r="D14" s="17">
        <v>0.45</v>
      </c>
      <c r="E14" s="17">
        <v>0.48</v>
      </c>
      <c r="F14" s="17">
        <v>0.42</v>
      </c>
      <c r="G14" s="17">
        <v>0.77</v>
      </c>
      <c r="H14" s="17">
        <v>0.47</v>
      </c>
      <c r="I14" s="16">
        <v>0.21</v>
      </c>
      <c r="J14" s="16">
        <v>0.77</v>
      </c>
      <c r="K14" s="16">
        <v>0.55000000000000004</v>
      </c>
      <c r="L14" s="16">
        <v>0.61</v>
      </c>
      <c r="M14" s="18">
        <v>0.77</v>
      </c>
      <c r="N14" s="19">
        <f>AVERAGE(D14:M14)</f>
        <v>0.55000000000000004</v>
      </c>
      <c r="O14" s="20"/>
    </row>
    <row r="15" spans="1:15" x14ac:dyDescent="0.2">
      <c r="A15" s="15" t="s">
        <v>59</v>
      </c>
      <c r="B15" s="16" t="s">
        <v>65</v>
      </c>
      <c r="C15" s="16" t="s">
        <v>65</v>
      </c>
      <c r="D15" s="17">
        <v>0.43</v>
      </c>
      <c r="E15" s="17">
        <v>0.52</v>
      </c>
      <c r="F15" s="17">
        <v>0.55000000000000004</v>
      </c>
      <c r="G15" s="17">
        <v>0.75</v>
      </c>
      <c r="H15" s="17">
        <v>0.5</v>
      </c>
      <c r="I15" s="16">
        <v>0.5</v>
      </c>
      <c r="J15" s="16">
        <v>0.61</v>
      </c>
      <c r="K15" s="16">
        <v>0.79</v>
      </c>
      <c r="L15" s="16">
        <v>0.82</v>
      </c>
      <c r="M15" s="18">
        <v>0.54</v>
      </c>
      <c r="N15" s="19">
        <f>AVERAGE(D15:M15)</f>
        <v>0.60100000000000009</v>
      </c>
      <c r="O15" s="20"/>
    </row>
    <row r="16" spans="1:15" x14ac:dyDescent="0.2">
      <c r="A16" s="15" t="s">
        <v>66</v>
      </c>
      <c r="B16" s="21"/>
      <c r="C16" s="17"/>
      <c r="D16" s="17">
        <v>0.16</v>
      </c>
      <c r="E16" s="17">
        <v>0.3</v>
      </c>
      <c r="F16" s="17">
        <v>0.31</v>
      </c>
      <c r="G16" s="17">
        <v>0.64</v>
      </c>
      <c r="H16" s="17">
        <v>0.35</v>
      </c>
      <c r="I16" s="16"/>
      <c r="J16" s="16">
        <v>0.61</v>
      </c>
      <c r="K16" s="16">
        <v>0.74</v>
      </c>
      <c r="L16" s="16">
        <v>0.82</v>
      </c>
      <c r="M16" s="18">
        <v>0.46</v>
      </c>
      <c r="N16" s="19">
        <f>AVERAGE(B16:M16)</f>
        <v>0.48777777777777787</v>
      </c>
      <c r="O16" s="20"/>
    </row>
    <row r="17" spans="1:15" x14ac:dyDescent="0.2">
      <c r="A17" s="15" t="s">
        <v>60</v>
      </c>
      <c r="B17" s="16" t="s">
        <v>65</v>
      </c>
      <c r="C17" s="16" t="s">
        <v>65</v>
      </c>
      <c r="D17" s="17">
        <v>0.28999999999999998</v>
      </c>
      <c r="E17" s="17">
        <v>0.62</v>
      </c>
      <c r="F17" s="17">
        <v>0.41</v>
      </c>
      <c r="G17" s="17">
        <v>0.61</v>
      </c>
      <c r="H17" s="17">
        <v>0.56000000000000005</v>
      </c>
      <c r="I17" s="16">
        <v>0.21</v>
      </c>
      <c r="J17" s="16">
        <v>0.59</v>
      </c>
      <c r="K17" s="16">
        <v>0.64</v>
      </c>
      <c r="L17" s="16">
        <v>0.75</v>
      </c>
      <c r="M17" s="18">
        <v>0.69</v>
      </c>
      <c r="N17" s="19">
        <f>AVERAGE(D17:M17)</f>
        <v>0.53699999999999992</v>
      </c>
      <c r="O17" s="20"/>
    </row>
    <row r="18" spans="1:15" x14ac:dyDescent="0.2">
      <c r="A18" s="15" t="s">
        <v>58</v>
      </c>
      <c r="B18" s="16" t="s">
        <v>65</v>
      </c>
      <c r="C18" s="16" t="s">
        <v>65</v>
      </c>
      <c r="D18" s="17">
        <v>0.35</v>
      </c>
      <c r="E18" s="17">
        <v>0.42</v>
      </c>
      <c r="F18" s="17">
        <v>0.63</v>
      </c>
      <c r="G18" s="17">
        <v>0.89</v>
      </c>
      <c r="H18" s="17">
        <v>0.65</v>
      </c>
      <c r="I18" s="16">
        <v>0.28999999999999998</v>
      </c>
      <c r="J18" s="16">
        <v>0.95</v>
      </c>
      <c r="K18" s="16">
        <v>0.82</v>
      </c>
      <c r="L18" s="16">
        <v>0.84</v>
      </c>
      <c r="M18" s="18">
        <v>1</v>
      </c>
      <c r="N18" s="19">
        <f>AVERAGE(D18:M18)</f>
        <v>0.68399999999999994</v>
      </c>
      <c r="O18" s="20"/>
    </row>
    <row r="19" spans="1:15" x14ac:dyDescent="0.2">
      <c r="A19" s="22" t="s">
        <v>67</v>
      </c>
      <c r="B19" s="23"/>
      <c r="C19" s="23"/>
      <c r="D19" s="23">
        <f t="shared" ref="D19:M19" si="0">AVERAGE(D13:D18)</f>
        <v>0.30833333333333335</v>
      </c>
      <c r="E19" s="23">
        <f t="shared" si="0"/>
        <v>0.46500000000000002</v>
      </c>
      <c r="F19" s="23">
        <f t="shared" si="0"/>
        <v>0.46</v>
      </c>
      <c r="G19" s="23">
        <f t="shared" si="0"/>
        <v>0.72666666666666657</v>
      </c>
      <c r="H19" s="23">
        <f t="shared" si="0"/>
        <v>0.50600000000000001</v>
      </c>
      <c r="I19" s="23">
        <f t="shared" si="0"/>
        <v>0.30249999999999999</v>
      </c>
      <c r="J19" s="23">
        <f t="shared" si="0"/>
        <v>0.71166666666666656</v>
      </c>
      <c r="K19" s="23">
        <f t="shared" si="0"/>
        <v>0.70500000000000007</v>
      </c>
      <c r="L19" s="23">
        <f t="shared" si="0"/>
        <v>0.75666666666666671</v>
      </c>
      <c r="M19" s="23">
        <f t="shared" si="0"/>
        <v>0.60833333333333328</v>
      </c>
      <c r="N19" s="24">
        <f>AVERAGE(N13:N18)</f>
        <v>0.5616296296296297</v>
      </c>
      <c r="O19" s="25"/>
    </row>
    <row r="21" spans="1:15" ht="16" thickBot="1" x14ac:dyDescent="0.25">
      <c r="A21" s="26"/>
      <c r="B21" s="27">
        <v>2021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7"/>
    </row>
    <row r="22" spans="1:15" ht="16" thickBot="1" x14ac:dyDescent="0.25">
      <c r="A22" s="26"/>
      <c r="B22" s="29" t="s">
        <v>0</v>
      </c>
      <c r="C22" s="30" t="s">
        <v>1</v>
      </c>
      <c r="D22" s="30" t="s">
        <v>2</v>
      </c>
      <c r="E22" s="30" t="s">
        <v>3</v>
      </c>
      <c r="F22" s="30" t="s">
        <v>4</v>
      </c>
      <c r="G22" s="30" t="s">
        <v>46</v>
      </c>
      <c r="H22" s="30" t="s">
        <v>47</v>
      </c>
      <c r="I22" s="31" t="s">
        <v>7</v>
      </c>
      <c r="J22" s="31" t="s">
        <v>8</v>
      </c>
      <c r="K22" s="31" t="s">
        <v>9</v>
      </c>
      <c r="L22" s="31" t="s">
        <v>10</v>
      </c>
      <c r="M22" s="31" t="s">
        <v>11</v>
      </c>
      <c r="N22" s="27"/>
    </row>
    <row r="23" spans="1:15" ht="15.75" customHeight="1" x14ac:dyDescent="0.2">
      <c r="A23" s="32" t="s">
        <v>54</v>
      </c>
      <c r="B23" s="33">
        <v>0</v>
      </c>
      <c r="C23" s="33">
        <v>0</v>
      </c>
      <c r="D23" s="33">
        <f>D19</f>
        <v>0.30833333333333335</v>
      </c>
      <c r="E23" s="33">
        <f t="shared" ref="E23:M23" si="1">E19</f>
        <v>0.46500000000000002</v>
      </c>
      <c r="F23" s="33">
        <f t="shared" si="1"/>
        <v>0.46</v>
      </c>
      <c r="G23" s="33">
        <f t="shared" si="1"/>
        <v>0.72666666666666657</v>
      </c>
      <c r="H23" s="33">
        <f t="shared" si="1"/>
        <v>0.50600000000000001</v>
      </c>
      <c r="I23" s="33">
        <f t="shared" si="1"/>
        <v>0.30249999999999999</v>
      </c>
      <c r="J23" s="33">
        <f t="shared" si="1"/>
        <v>0.71166666666666656</v>
      </c>
      <c r="K23" s="33">
        <f t="shared" si="1"/>
        <v>0.70500000000000007</v>
      </c>
      <c r="L23" s="33">
        <f t="shared" si="1"/>
        <v>0.75666666666666671</v>
      </c>
      <c r="M23" s="33">
        <f t="shared" si="1"/>
        <v>0.60833333333333328</v>
      </c>
      <c r="N23" s="34">
        <f>AVERAGE(D23:M23)</f>
        <v>0.55501666666666671</v>
      </c>
      <c r="O23" s="35">
        <f>N24/56</f>
        <v>3969.3928571428573</v>
      </c>
    </row>
    <row r="24" spans="1:15" ht="15.75" customHeight="1" x14ac:dyDescent="0.2">
      <c r="A24" s="32" t="s">
        <v>68</v>
      </c>
      <c r="B24" s="36">
        <v>0</v>
      </c>
      <c r="C24" s="36">
        <v>0</v>
      </c>
      <c r="D24" s="36">
        <f>[1]kengetallen!J23</f>
        <v>7334</v>
      </c>
      <c r="E24" s="36">
        <f>[1]kengetallen!K23</f>
        <v>14612</v>
      </c>
      <c r="F24" s="36">
        <f>[1]kengetallen!L23</f>
        <v>14392</v>
      </c>
      <c r="G24" s="36">
        <f>[1]kengetallen!M23</f>
        <v>37146</v>
      </c>
      <c r="H24" s="36">
        <f>[1]kengetallen!N23</f>
        <v>15866</v>
      </c>
      <c r="I24" s="36">
        <f>[1]kengetallen!O23</f>
        <v>6814</v>
      </c>
      <c r="J24" s="36">
        <f>[1]kengetallen!P23</f>
        <v>42466</v>
      </c>
      <c r="K24" s="36">
        <f>[1]kengetallen!Q23</f>
        <v>32497</v>
      </c>
      <c r="L24" s="36">
        <f>[1]kengetallen!R23</f>
        <v>37518</v>
      </c>
      <c r="M24" s="36">
        <f>[1]kengetallen!S23</f>
        <v>13641</v>
      </c>
      <c r="N24" s="37">
        <f>SUM(B24:M24)</f>
        <v>222286</v>
      </c>
    </row>
    <row r="25" spans="1:15" x14ac:dyDescent="0.2">
      <c r="A25" s="32" t="s">
        <v>69</v>
      </c>
      <c r="B25" s="38">
        <f>[1]kengetallen!H22</f>
        <v>0</v>
      </c>
      <c r="C25" s="38">
        <v>0</v>
      </c>
      <c r="D25" s="38">
        <f>[1]kengetallen!J13</f>
        <v>0.21450959905968395</v>
      </c>
      <c r="E25" s="38">
        <f>[1]kengetallen!K13</f>
        <v>0.27671270937524806</v>
      </c>
      <c r="F25" s="38">
        <f>[1]kengetallen!L13</f>
        <v>0.33928969263034975</v>
      </c>
      <c r="G25" s="38">
        <f>[1]kengetallen!M13</f>
        <v>0.60558069381598789</v>
      </c>
      <c r="H25" s="38">
        <f>[1]kengetallen!N13</f>
        <v>0.22292174019927938</v>
      </c>
      <c r="I25" s="38">
        <f>[1]kengetallen!O13</f>
        <v>0.18226305802456805</v>
      </c>
      <c r="J25" s="38">
        <f>[1]kengetallen!P13</f>
        <v>0.70699372866555521</v>
      </c>
      <c r="K25" s="38">
        <f>[1]kengetallen!Q13</f>
        <v>0.72624818505174038</v>
      </c>
      <c r="L25" s="38">
        <f>[1]kengetallen!R13</f>
        <v>0.53169405413987458</v>
      </c>
      <c r="M25" s="38">
        <f>[1]kengetallen!S13</f>
        <v>0.33368159853728613</v>
      </c>
      <c r="N25" s="39">
        <f>AVERAGE(B25:M25)</f>
        <v>0.3449912549582978</v>
      </c>
    </row>
    <row r="26" spans="1:15" x14ac:dyDescent="0.2">
      <c r="A26" s="32" t="s">
        <v>70</v>
      </c>
      <c r="B26" s="40">
        <f>[1]kengetallen!H28</f>
        <v>0</v>
      </c>
      <c r="C26" s="40">
        <f>[1]kengetallen!I28</f>
        <v>0</v>
      </c>
      <c r="D26" s="40">
        <f>[1]kengetallen!J19</f>
        <v>5933</v>
      </c>
      <c r="E26" s="40">
        <f>[1]kengetallen!K19</f>
        <v>11713</v>
      </c>
      <c r="F26" s="40">
        <f>[1]kengetallen!L19</f>
        <v>14094</v>
      </c>
      <c r="G26" s="40">
        <f>[1]kengetallen!M19</f>
        <v>24877</v>
      </c>
      <c r="H26" s="40">
        <f>[1]kengetallen!N19</f>
        <v>4115</v>
      </c>
      <c r="I26" s="40">
        <f>[1]kengetallen!O19</f>
        <v>2445</v>
      </c>
      <c r="J26" s="40">
        <f>[1]kengetallen!P19</f>
        <v>27872</v>
      </c>
      <c r="K26" s="40">
        <f>[1]kengetallen!Q19</f>
        <v>32376</v>
      </c>
      <c r="L26" s="40">
        <f>[1]kengetallen!R19</f>
        <v>28666</v>
      </c>
      <c r="M26" s="40">
        <f>[1]kengetallen!S19</f>
        <v>17352</v>
      </c>
      <c r="N26" s="37">
        <f>SUM(B26:M26)</f>
        <v>169443</v>
      </c>
    </row>
    <row r="27" spans="1:15" x14ac:dyDescent="0.2">
      <c r="A27" s="41" t="s">
        <v>71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37">
        <f>SUM(B27:M27)</f>
        <v>0</v>
      </c>
    </row>
    <row r="28" spans="1:15" x14ac:dyDescent="0.2">
      <c r="A28" s="41" t="s">
        <v>72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4">
        <f>AVERAGE(B28:M28)</f>
        <v>0</v>
      </c>
    </row>
    <row r="29" spans="1:15" ht="18.75" customHeight="1" x14ac:dyDescent="0.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47"/>
    </row>
    <row r="30" spans="1:15" s="47" customFormat="1" x14ac:dyDescent="0.2">
      <c r="A30" s="48" t="s">
        <v>73</v>
      </c>
      <c r="B30" s="40">
        <f>[1]kengetallen!H29</f>
        <v>0</v>
      </c>
      <c r="C30" s="40">
        <f>[1]kengetallen!I29</f>
        <v>0</v>
      </c>
      <c r="D30" s="40">
        <f>[1]kengetallen!J20</f>
        <v>26689</v>
      </c>
      <c r="E30" s="40">
        <f>[1]kengetallen!K20</f>
        <v>43633</v>
      </c>
      <c r="F30" s="40">
        <f>[1]kengetallen!L20</f>
        <v>41081</v>
      </c>
      <c r="G30" s="40">
        <f>[1]kengetallen!M20</f>
        <v>83557</v>
      </c>
      <c r="H30" s="40">
        <f>[1]kengetallen!N20</f>
        <v>32648</v>
      </c>
      <c r="I30" s="40">
        <f>[1]kengetallen!O20</f>
        <v>11676</v>
      </c>
      <c r="J30" s="40">
        <f>[1]kengetallen!P20</f>
        <v>93113</v>
      </c>
      <c r="K30" s="40">
        <f>[1]kengetallen!Q20</f>
        <v>92466</v>
      </c>
      <c r="L30" s="40">
        <f>[1]kengetallen!R20</f>
        <v>96473</v>
      </c>
      <c r="M30" s="40">
        <f>[1]kengetallen!S20</f>
        <v>44313</v>
      </c>
      <c r="N30" s="49">
        <f>SUM(B30:M30)</f>
        <v>565649</v>
      </c>
      <c r="O30"/>
    </row>
    <row r="31" spans="1:15" x14ac:dyDescent="0.2">
      <c r="A31" s="50" t="s">
        <v>74</v>
      </c>
      <c r="B31" s="51">
        <v>0</v>
      </c>
      <c r="C31" s="51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49">
        <f>SUM(B31:M31)</f>
        <v>0</v>
      </c>
    </row>
    <row r="32" spans="1:15" x14ac:dyDescent="0.2">
      <c r="A32" s="41" t="s">
        <v>75</v>
      </c>
      <c r="B32" s="43">
        <f>'[1]Lonen 2022'!O24</f>
        <v>0</v>
      </c>
      <c r="C32" s="43">
        <f>'[1]Lonen 2022'!P24</f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44">
        <f>AVERAGE(B32:M32)</f>
        <v>0</v>
      </c>
    </row>
    <row r="33" spans="1:15" x14ac:dyDescent="0.2">
      <c r="A33" s="53" t="s">
        <v>76</v>
      </c>
      <c r="B33" s="52">
        <v>0</v>
      </c>
      <c r="C33" s="52">
        <v>0</v>
      </c>
      <c r="D33" s="52">
        <f t="shared" ref="D33:N33" si="2">D27+D31</f>
        <v>0</v>
      </c>
      <c r="E33" s="52">
        <f t="shared" si="2"/>
        <v>0</v>
      </c>
      <c r="F33" s="52">
        <f t="shared" si="2"/>
        <v>0</v>
      </c>
      <c r="G33" s="52">
        <f t="shared" si="2"/>
        <v>0</v>
      </c>
      <c r="H33" s="52">
        <f t="shared" si="2"/>
        <v>0</v>
      </c>
      <c r="I33" s="52">
        <f t="shared" si="2"/>
        <v>0</v>
      </c>
      <c r="J33" s="52">
        <f t="shared" si="2"/>
        <v>0</v>
      </c>
      <c r="K33" s="52">
        <f t="shared" si="2"/>
        <v>0</v>
      </c>
      <c r="L33" s="52">
        <f t="shared" si="2"/>
        <v>0</v>
      </c>
      <c r="M33" s="52">
        <f t="shared" si="2"/>
        <v>0</v>
      </c>
      <c r="N33" s="52">
        <f t="shared" si="2"/>
        <v>0</v>
      </c>
    </row>
    <row r="34" spans="1:15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6" spans="1:15" ht="16" x14ac:dyDescent="0.2">
      <c r="A36" s="197" t="s">
        <v>54</v>
      </c>
      <c r="B36" s="198">
        <v>2022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2">
        <v>2022</v>
      </c>
      <c r="O36" s="13"/>
    </row>
    <row r="37" spans="1:15" x14ac:dyDescent="0.2">
      <c r="A37" s="197"/>
      <c r="B37" s="14" t="s">
        <v>0</v>
      </c>
      <c r="C37" s="14" t="s">
        <v>1</v>
      </c>
      <c r="D37" s="14" t="s">
        <v>2</v>
      </c>
      <c r="E37" s="14" t="s">
        <v>3</v>
      </c>
      <c r="F37" s="14" t="s">
        <v>4</v>
      </c>
      <c r="G37" s="14" t="s">
        <v>46</v>
      </c>
      <c r="H37" s="14" t="s">
        <v>47</v>
      </c>
      <c r="I37" s="14" t="s">
        <v>7</v>
      </c>
      <c r="J37" s="14" t="s">
        <v>8</v>
      </c>
      <c r="K37" s="14" t="s">
        <v>9</v>
      </c>
      <c r="L37" s="14" t="s">
        <v>10</v>
      </c>
      <c r="M37" s="14" t="s">
        <v>11</v>
      </c>
      <c r="N37" s="12" t="s">
        <v>40</v>
      </c>
      <c r="O37" s="13"/>
    </row>
    <row r="38" spans="1:15" x14ac:dyDescent="0.2">
      <c r="A38" s="15" t="s">
        <v>61</v>
      </c>
      <c r="B38" s="16" t="s">
        <v>65</v>
      </c>
      <c r="C38" s="16" t="s">
        <v>65</v>
      </c>
      <c r="D38" s="17">
        <v>0.39</v>
      </c>
      <c r="E38" s="17">
        <v>0.6</v>
      </c>
      <c r="F38" s="17">
        <v>0.69</v>
      </c>
      <c r="G38" s="17">
        <v>0.68</v>
      </c>
      <c r="H38" s="16" t="s">
        <v>65</v>
      </c>
      <c r="I38" s="16" t="s">
        <v>65</v>
      </c>
      <c r="J38" s="16">
        <v>0.48</v>
      </c>
      <c r="K38" s="16">
        <v>0.5</v>
      </c>
      <c r="L38" s="16">
        <v>0.7</v>
      </c>
      <c r="M38" s="18">
        <v>0.38</v>
      </c>
      <c r="N38" s="19">
        <f>AVERAGE(B38:M38)</f>
        <v>0.55249999999999999</v>
      </c>
      <c r="O38" s="20"/>
    </row>
    <row r="39" spans="1:15" x14ac:dyDescent="0.2">
      <c r="A39" s="15" t="s">
        <v>55</v>
      </c>
      <c r="B39" s="17">
        <v>0.64</v>
      </c>
      <c r="C39" s="17">
        <v>0.55000000000000004</v>
      </c>
      <c r="D39" s="17">
        <v>0.63</v>
      </c>
      <c r="E39" s="17">
        <v>0.6</v>
      </c>
      <c r="F39" s="17">
        <v>0.62</v>
      </c>
      <c r="G39" s="17">
        <v>0.77</v>
      </c>
      <c r="H39" s="17">
        <v>0.32</v>
      </c>
      <c r="I39" s="16">
        <v>0.42</v>
      </c>
      <c r="J39" s="16">
        <v>0.55000000000000004</v>
      </c>
      <c r="K39" s="16">
        <v>0.4</v>
      </c>
      <c r="L39" s="16">
        <v>0.75</v>
      </c>
      <c r="M39" s="18">
        <v>0.67</v>
      </c>
      <c r="N39" s="19">
        <f t="shared" ref="N39:N43" si="3">AVERAGE(B39:M39)</f>
        <v>0.57666666666666666</v>
      </c>
      <c r="O39" s="20"/>
    </row>
    <row r="40" spans="1:15" x14ac:dyDescent="0.2">
      <c r="A40" s="15" t="s">
        <v>59</v>
      </c>
      <c r="B40" s="17">
        <v>0.64</v>
      </c>
      <c r="C40" s="17">
        <v>0.7</v>
      </c>
      <c r="D40" s="17">
        <v>0.59</v>
      </c>
      <c r="E40" s="17">
        <v>0.52</v>
      </c>
      <c r="F40" s="17">
        <v>0.81</v>
      </c>
      <c r="G40" s="17">
        <v>0.86</v>
      </c>
      <c r="H40" s="17">
        <v>0.73</v>
      </c>
      <c r="I40" s="16">
        <v>0.04</v>
      </c>
      <c r="J40" s="16">
        <v>0.66</v>
      </c>
      <c r="K40" s="16">
        <v>0.67</v>
      </c>
      <c r="L40" s="16">
        <v>0.84</v>
      </c>
      <c r="M40" s="18">
        <v>0.56999999999999995</v>
      </c>
      <c r="N40" s="19">
        <f t="shared" si="3"/>
        <v>0.63583333333333336</v>
      </c>
      <c r="O40" s="20"/>
    </row>
    <row r="41" spans="1:15" x14ac:dyDescent="0.2">
      <c r="A41" s="15" t="s">
        <v>66</v>
      </c>
      <c r="B41" s="21">
        <v>0.64</v>
      </c>
      <c r="C41" s="17">
        <v>0.5</v>
      </c>
      <c r="D41" s="17">
        <v>0.49</v>
      </c>
      <c r="E41" s="17">
        <v>0.48</v>
      </c>
      <c r="F41" s="17">
        <v>0.77</v>
      </c>
      <c r="G41" s="17">
        <v>0.59</v>
      </c>
      <c r="H41" s="17">
        <v>0.5</v>
      </c>
      <c r="I41" s="16">
        <v>0.27</v>
      </c>
      <c r="J41" s="16">
        <v>0.52</v>
      </c>
      <c r="K41" s="16">
        <v>0.71</v>
      </c>
      <c r="L41" s="16">
        <v>0.84</v>
      </c>
      <c r="M41" s="18">
        <v>0.73</v>
      </c>
      <c r="N41" s="19">
        <f t="shared" si="3"/>
        <v>0.58666666666666656</v>
      </c>
      <c r="O41" s="20"/>
    </row>
    <row r="42" spans="1:15" x14ac:dyDescent="0.2">
      <c r="A42" s="15" t="s">
        <v>60</v>
      </c>
      <c r="B42" s="17">
        <v>0.45</v>
      </c>
      <c r="C42" s="17">
        <v>0.6</v>
      </c>
      <c r="D42" s="17">
        <v>0.56999999999999995</v>
      </c>
      <c r="E42" s="17">
        <v>0.55000000000000004</v>
      </c>
      <c r="F42" s="17">
        <v>0.75</v>
      </c>
      <c r="G42" s="17">
        <v>0.68</v>
      </c>
      <c r="H42" s="17">
        <v>0.68</v>
      </c>
      <c r="I42" s="16">
        <v>0.04</v>
      </c>
      <c r="J42" s="16">
        <v>0.68</v>
      </c>
      <c r="K42" s="16">
        <v>0.64</v>
      </c>
      <c r="L42" s="16">
        <v>0.86</v>
      </c>
      <c r="M42" s="18">
        <v>0.67</v>
      </c>
      <c r="N42" s="19">
        <f t="shared" si="3"/>
        <v>0.59750000000000003</v>
      </c>
      <c r="O42" s="20"/>
    </row>
    <row r="43" spans="1:15" x14ac:dyDescent="0.2">
      <c r="A43" s="15" t="s">
        <v>58</v>
      </c>
      <c r="B43" s="17">
        <v>0.82</v>
      </c>
      <c r="C43" s="17">
        <v>0.8</v>
      </c>
      <c r="D43" s="17">
        <v>0.74</v>
      </c>
      <c r="E43" s="17">
        <v>0.71</v>
      </c>
      <c r="F43" s="17">
        <v>0.7</v>
      </c>
      <c r="G43" s="17">
        <v>0.89</v>
      </c>
      <c r="H43" s="17">
        <v>0.86</v>
      </c>
      <c r="I43" s="16">
        <v>0.31</v>
      </c>
      <c r="J43" s="16">
        <v>0.77</v>
      </c>
      <c r="K43" s="16">
        <v>0.6</v>
      </c>
      <c r="L43" s="16">
        <v>0.84</v>
      </c>
      <c r="M43" s="18">
        <v>0.9</v>
      </c>
      <c r="N43" s="19">
        <f t="shared" si="3"/>
        <v>0.745</v>
      </c>
      <c r="O43" s="20"/>
    </row>
    <row r="44" spans="1:15" x14ac:dyDescent="0.2">
      <c r="A44" s="15" t="s">
        <v>77</v>
      </c>
      <c r="B44" s="17"/>
      <c r="C44" s="17"/>
      <c r="D44" s="17"/>
      <c r="E44" s="17"/>
      <c r="F44" s="17"/>
      <c r="G44" s="17"/>
      <c r="H44" s="17"/>
      <c r="I44" s="16"/>
      <c r="J44" s="16"/>
      <c r="K44" s="16"/>
      <c r="L44" s="16"/>
      <c r="M44" s="18"/>
      <c r="N44" s="19"/>
      <c r="O44" s="20"/>
    </row>
    <row r="45" spans="1:15" ht="15.75" customHeight="1" x14ac:dyDescent="0.2">
      <c r="A45" s="22" t="s">
        <v>67</v>
      </c>
      <c r="B45" s="23">
        <f>AVERAGE(B39:B44)</f>
        <v>0.63800000000000001</v>
      </c>
      <c r="C45" s="23">
        <f>AVERAGE(C39:C43)</f>
        <v>0.63000000000000012</v>
      </c>
      <c r="D45" s="23">
        <f t="shared" ref="D45:M45" si="4">AVERAGE(D38:D43)</f>
        <v>0.56833333333333325</v>
      </c>
      <c r="E45" s="23">
        <f t="shared" si="4"/>
        <v>0.57666666666666666</v>
      </c>
      <c r="F45" s="23">
        <f t="shared" si="4"/>
        <v>0.72333333333333327</v>
      </c>
      <c r="G45" s="23">
        <f t="shared" si="4"/>
        <v>0.745</v>
      </c>
      <c r="H45" s="23">
        <f t="shared" ref="H45:I45" si="5">AVERAGE(H39:H43)</f>
        <v>0.61799999999999999</v>
      </c>
      <c r="I45" s="23">
        <f t="shared" si="5"/>
        <v>0.21600000000000003</v>
      </c>
      <c r="J45" s="23">
        <f t="shared" si="4"/>
        <v>0.61</v>
      </c>
      <c r="K45" s="23">
        <f t="shared" si="4"/>
        <v>0.58666666666666678</v>
      </c>
      <c r="L45" s="23">
        <f t="shared" si="4"/>
        <v>0.80500000000000005</v>
      </c>
      <c r="M45" s="23">
        <f t="shared" si="4"/>
        <v>0.65333333333333332</v>
      </c>
      <c r="N45" s="24">
        <f>AVERAGE(N38:N43)</f>
        <v>0.61569444444444443</v>
      </c>
      <c r="O45" s="25"/>
    </row>
    <row r="47" spans="1:15" ht="16" thickBot="1" x14ac:dyDescent="0.25">
      <c r="A47" s="26"/>
      <c r="B47" s="199">
        <v>2022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</row>
    <row r="48" spans="1:15" ht="16" thickBot="1" x14ac:dyDescent="0.25">
      <c r="A48" s="26"/>
      <c r="B48" s="29" t="s">
        <v>0</v>
      </c>
      <c r="C48" s="30" t="s">
        <v>1</v>
      </c>
      <c r="D48" s="30" t="s">
        <v>2</v>
      </c>
      <c r="E48" s="30" t="s">
        <v>3</v>
      </c>
      <c r="F48" s="30" t="s">
        <v>4</v>
      </c>
      <c r="G48" s="30" t="s">
        <v>46</v>
      </c>
      <c r="H48" s="30" t="s">
        <v>47</v>
      </c>
      <c r="I48" s="31" t="s">
        <v>7</v>
      </c>
      <c r="J48" s="31" t="s">
        <v>8</v>
      </c>
      <c r="K48" s="31" t="s">
        <v>9</v>
      </c>
      <c r="L48" s="31" t="s">
        <v>10</v>
      </c>
      <c r="M48" s="31" t="s">
        <v>11</v>
      </c>
      <c r="N48" s="27"/>
    </row>
    <row r="49" spans="1:16" ht="16" x14ac:dyDescent="0.2">
      <c r="A49" s="32" t="s">
        <v>54</v>
      </c>
      <c r="B49" s="33">
        <f>AVERAGE(B38:B43)</f>
        <v>0.63800000000000001</v>
      </c>
      <c r="C49" s="33">
        <f t="shared" ref="C49:G49" si="6">AVERAGE(C38:C43)</f>
        <v>0.63000000000000012</v>
      </c>
      <c r="D49" s="33">
        <f t="shared" si="6"/>
        <v>0.56833333333333325</v>
      </c>
      <c r="E49" s="33">
        <f t="shared" si="6"/>
        <v>0.57666666666666666</v>
      </c>
      <c r="F49" s="33">
        <f t="shared" si="6"/>
        <v>0.72333333333333327</v>
      </c>
      <c r="G49" s="33">
        <f t="shared" si="6"/>
        <v>0.745</v>
      </c>
      <c r="H49" s="33">
        <f>AVERAGE(H39:H43)</f>
        <v>0.61799999999999999</v>
      </c>
      <c r="I49" s="33">
        <f>AVERAGE(I38:I43)</f>
        <v>0.21600000000000003</v>
      </c>
      <c r="J49" s="33">
        <f>AVERAGE(J38:J43)</f>
        <v>0.61</v>
      </c>
      <c r="K49" s="33">
        <f>AVERAGE(K38:K43)</f>
        <v>0.58666666666666678</v>
      </c>
      <c r="L49" s="33">
        <f>AVERAGE(L38:L43)</f>
        <v>0.80500000000000005</v>
      </c>
      <c r="M49" s="55">
        <f>AVERAGE(M39:M43)</f>
        <v>0.70799999999999996</v>
      </c>
      <c r="N49" s="34">
        <f>AVERAGE(B49:M49)</f>
        <v>0.61875000000000002</v>
      </c>
      <c r="O49" s="35">
        <f>N50/62</f>
        <v>5872.3019354838716</v>
      </c>
    </row>
    <row r="50" spans="1:16" x14ac:dyDescent="0.2">
      <c r="A50" s="32" t="s">
        <v>68</v>
      </c>
      <c r="B50" s="36">
        <f>[1]kengetallen!H53</f>
        <v>20171</v>
      </c>
      <c r="C50" s="36">
        <f>[1]kengetallen!I53</f>
        <v>25464</v>
      </c>
      <c r="D50" s="36">
        <f>[1]kengetallen!J53</f>
        <v>32538.22</v>
      </c>
      <c r="E50" s="36">
        <f>[1]kengetallen!K53</f>
        <v>38277.9</v>
      </c>
      <c r="F50" s="36">
        <f>[1]kengetallen!L53</f>
        <v>37193.67</v>
      </c>
      <c r="G50" s="36">
        <f>[1]kengetallen!M53</f>
        <v>43505</v>
      </c>
      <c r="H50" s="36">
        <f>[1]kengetallen!N53</f>
        <v>24822</v>
      </c>
      <c r="I50" s="36">
        <f>[1]kengetallen!O53</f>
        <v>-15285</v>
      </c>
      <c r="J50" s="36">
        <f>[1]kengetallen!P53</f>
        <v>40362.58</v>
      </c>
      <c r="K50" s="36">
        <f>[1]kengetallen!Q53</f>
        <v>35794.51</v>
      </c>
      <c r="L50" s="36">
        <f>[1]kengetallen!R53</f>
        <v>55848.959999999999</v>
      </c>
      <c r="M50" s="36">
        <f>[1]kengetallen!S53</f>
        <v>25389.88</v>
      </c>
      <c r="N50" s="56">
        <f>SUM(B50:M50)</f>
        <v>364082.72000000003</v>
      </c>
    </row>
    <row r="51" spans="1:16" x14ac:dyDescent="0.2">
      <c r="A51" s="32" t="s">
        <v>69</v>
      </c>
      <c r="B51" s="38">
        <f>[1]kengetallen!H43</f>
        <v>0.19067519916416351</v>
      </c>
      <c r="C51" s="38">
        <f>[1]kengetallen!I43</f>
        <v>0.53086619263089851</v>
      </c>
      <c r="D51" s="38">
        <f>[1]kengetallen!J43</f>
        <v>0.71783604391214495</v>
      </c>
      <c r="E51" s="38">
        <f>[1]kengetallen!K43</f>
        <v>0.47229499087084226</v>
      </c>
      <c r="F51" s="38">
        <f>[1]kengetallen!L43</f>
        <v>0.38135039832832701</v>
      </c>
      <c r="G51" s="38">
        <f>[1]kengetallen!M43</f>
        <v>0.64324839247439858</v>
      </c>
      <c r="H51" s="38">
        <f>[1]kengetallen!N43</f>
        <v>0.18506710507109986</v>
      </c>
      <c r="I51" s="38">
        <f>[1]kengetallen!O43</f>
        <v>0.50893453894552465</v>
      </c>
      <c r="J51" s="38">
        <f>[1]kengetallen!P43</f>
        <v>0.49692387076288003</v>
      </c>
      <c r="K51" s="38">
        <f>[1]kengetallen!Q43</f>
        <v>0.65754903241171092</v>
      </c>
      <c r="L51" s="38">
        <f>[1]kengetallen!R43</f>
        <v>0.86925458442486303</v>
      </c>
      <c r="M51" s="57">
        <f>[1]kengetallen!S43</f>
        <v>0.33928969263034975</v>
      </c>
      <c r="N51" s="58">
        <f>AVERAGE(B51:M51)</f>
        <v>0.49944083680226692</v>
      </c>
    </row>
    <row r="52" spans="1:16" x14ac:dyDescent="0.2">
      <c r="A52" s="32" t="s">
        <v>70</v>
      </c>
      <c r="B52" s="40">
        <f>[1]kengetallen!H49</f>
        <v>10419</v>
      </c>
      <c r="C52" s="40">
        <f>[1]kengetallen!I49</f>
        <v>21500</v>
      </c>
      <c r="D52" s="40">
        <f>[1]kengetallen!J49</f>
        <v>29256.19</v>
      </c>
      <c r="E52" s="40">
        <f>[1]kengetallen!K49</f>
        <v>23756</v>
      </c>
      <c r="F52" s="40">
        <f>[1]kengetallen!L49</f>
        <v>20441</v>
      </c>
      <c r="G52" s="40">
        <f>[1]kengetallen!M49</f>
        <v>27863</v>
      </c>
      <c r="H52" s="40">
        <f>[1]kengetallen!N49</f>
        <v>8984</v>
      </c>
      <c r="I52" s="40">
        <f>[1]kengetallen!O49</f>
        <v>21952</v>
      </c>
      <c r="J52" s="40">
        <f>[1]kengetallen!P49</f>
        <v>22338.3</v>
      </c>
      <c r="K52" s="40">
        <f>[1]kengetallen!Q49</f>
        <v>28116.52</v>
      </c>
      <c r="L52" s="40">
        <f>[1]kengetallen!R49</f>
        <v>37149.08</v>
      </c>
      <c r="M52" s="59">
        <f>[1]kengetallen!S49</f>
        <v>15068.81</v>
      </c>
      <c r="N52" s="56">
        <f>SUM(B52:M52)</f>
        <v>266843.89999999997</v>
      </c>
    </row>
    <row r="53" spans="1:16" x14ac:dyDescent="0.2">
      <c r="A53" s="41" t="s">
        <v>71</v>
      </c>
      <c r="B53" s="42">
        <f>'[1]Lonen 2022'!B16</f>
        <v>7006.44</v>
      </c>
      <c r="C53" s="42">
        <f>'[1]Lonen 2022'!C16</f>
        <v>7283.13</v>
      </c>
      <c r="D53" s="42">
        <f>'[1]Lonen 2022'!D16</f>
        <v>7410.2000000000007</v>
      </c>
      <c r="E53" s="42">
        <f>'[1]Lonen 2022'!E16</f>
        <v>7497.2400000000007</v>
      </c>
      <c r="F53" s="42">
        <f>'[1]Lonen 2022'!F16</f>
        <v>13683.099999999999</v>
      </c>
      <c r="G53" s="42">
        <f>'[1]Lonen 2022'!G16</f>
        <v>7783.71</v>
      </c>
      <c r="H53" s="42">
        <f>'[1]Lonen 2022'!H16</f>
        <v>7783.71</v>
      </c>
      <c r="I53" s="42">
        <f>'[1]Lonen 2022'!I16</f>
        <v>7783.71</v>
      </c>
      <c r="J53" s="42">
        <f>'[1]Lonen 2022'!J16</f>
        <v>7783.71</v>
      </c>
      <c r="K53" s="42">
        <f>'[1]Lonen 2022'!K16</f>
        <v>7783.71</v>
      </c>
      <c r="L53" s="42">
        <f>'[1]Lonen 2022'!L16</f>
        <v>9672.9</v>
      </c>
      <c r="M53" s="42">
        <f>'[1]Lonen 2022'!M16</f>
        <v>10696.77</v>
      </c>
      <c r="N53" s="56">
        <f>SUM(B53:M53)</f>
        <v>102168.33000000002</v>
      </c>
    </row>
    <row r="54" spans="1:16" x14ac:dyDescent="0.2">
      <c r="A54" s="41" t="s">
        <v>72</v>
      </c>
      <c r="B54" s="43">
        <v>2.8</v>
      </c>
      <c r="C54" s="43">
        <v>2.8</v>
      </c>
      <c r="D54" s="43">
        <v>2.8</v>
      </c>
      <c r="E54" s="43">
        <v>2.8</v>
      </c>
      <c r="F54" s="43">
        <v>2.8</v>
      </c>
      <c r="G54" s="43">
        <v>2.8</v>
      </c>
      <c r="H54" s="43">
        <v>2.8</v>
      </c>
      <c r="I54" s="43">
        <v>2.8</v>
      </c>
      <c r="J54" s="43">
        <v>2.8</v>
      </c>
      <c r="K54" s="43">
        <v>2.8</v>
      </c>
      <c r="L54" s="43">
        <v>3.4</v>
      </c>
      <c r="M54" s="43">
        <v>3.4</v>
      </c>
      <c r="N54" s="60">
        <f>AVERAGE(B54:M54)</f>
        <v>2.9000000000000004</v>
      </c>
    </row>
    <row r="55" spans="1:16" x14ac:dyDescent="0.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61"/>
    </row>
    <row r="56" spans="1:16" x14ac:dyDescent="0.2">
      <c r="A56" s="48" t="s">
        <v>73</v>
      </c>
      <c r="B56" s="40">
        <f>[1]kengetallen!H50</f>
        <v>37954</v>
      </c>
      <c r="C56" s="40">
        <f>[1]kengetallen!I50</f>
        <v>63088</v>
      </c>
      <c r="D56" s="40">
        <f>[1]kengetallen!J50</f>
        <v>88413.46</v>
      </c>
      <c r="E56" s="40">
        <f>[1]kengetallen!K50</f>
        <v>73649</v>
      </c>
      <c r="F56" s="40">
        <f>[1]kengetallen!L50</f>
        <v>59656</v>
      </c>
      <c r="G56" s="40">
        <f>[1]kengetallen!M50</f>
        <v>95005</v>
      </c>
      <c r="H56" s="40">
        <f>[1]kengetallen!N50</f>
        <v>45260</v>
      </c>
      <c r="I56" s="40">
        <f>[1]kengetallen!O50</f>
        <v>45992</v>
      </c>
      <c r="J56" s="40">
        <f>[1]kengetallen!P50</f>
        <v>88124.76</v>
      </c>
      <c r="K56" s="40">
        <f>[1]kengetallen!Q50</f>
        <v>80704.350000000006</v>
      </c>
      <c r="L56" s="40">
        <f>[1]kengetallen!R50</f>
        <v>114042.54</v>
      </c>
      <c r="M56" s="40">
        <f>[1]kengetallen!S50</f>
        <v>55028.47</v>
      </c>
      <c r="N56" s="62">
        <f>SUM(B56:M56)</f>
        <v>846917.58</v>
      </c>
    </row>
    <row r="57" spans="1:16" x14ac:dyDescent="0.2">
      <c r="A57" s="50" t="s">
        <v>74</v>
      </c>
      <c r="B57" s="51">
        <f>'[1]Lonen 2022'!B37+'[1]Lonen 2022'!B45</f>
        <v>14033.19</v>
      </c>
      <c r="C57" s="51">
        <f>'[1]Lonen 2022'!C37+'[1]Lonen 2022'!C45</f>
        <v>14361.660000000002</v>
      </c>
      <c r="D57" s="51">
        <f>'[1]Lonen 2022'!D37+'[1]Lonen 2022'!D45</f>
        <v>13219.19</v>
      </c>
      <c r="E57" s="51">
        <f>'[1]Lonen 2022'!E37+'[1]Lonen 2022'!E45</f>
        <v>17522.77</v>
      </c>
      <c r="F57" s="51">
        <f>'[1]Lonen 2022'!F37+'[1]Lonen 2022'!F45</f>
        <v>26830.239999999998</v>
      </c>
      <c r="G57" s="51">
        <f>'[1]Lonen 2022'!G37+'[1]Lonen 2022'!G45</f>
        <v>19380.7</v>
      </c>
      <c r="H57" s="51">
        <f>'[1]Lonen 2022'!H37+'[1]Lonen 2022'!H45</f>
        <v>19087.760000000002</v>
      </c>
      <c r="I57" s="51">
        <f>'[1]Lonen 2022'!I37+'[1]Lonen 2022'!I45</f>
        <v>19459.010000000002</v>
      </c>
      <c r="J57" s="51">
        <f>'[1]Lonen 2022'!J37+'[1]Lonen 2022'!J45</f>
        <v>19508.699999999997</v>
      </c>
      <c r="K57" s="51">
        <f>'[1]Lonen 2022'!K37+'[1]Lonen 2022'!K45</f>
        <v>18101.559999999998</v>
      </c>
      <c r="L57" s="51">
        <f>'[1]Lonen 2022'!L37+'[1]Lonen 2022'!L45</f>
        <v>18355.339999999997</v>
      </c>
      <c r="M57" s="51">
        <f>'[1]Lonen 2022'!M37+'[1]Lonen 2022'!M45</f>
        <v>20746.689999999999</v>
      </c>
      <c r="N57" s="62">
        <f>SUM(B57:M57)</f>
        <v>220606.80999999997</v>
      </c>
    </row>
    <row r="58" spans="1:16" x14ac:dyDescent="0.2">
      <c r="A58" s="41" t="s">
        <v>75</v>
      </c>
      <c r="B58" s="43">
        <f>'[1]Lonen 2022'!O45</f>
        <v>5.6400000000000006</v>
      </c>
      <c r="C58" s="43">
        <f>'[1]Lonen 2022'!P45</f>
        <v>6.04</v>
      </c>
      <c r="D58" s="43">
        <f>'[1]Lonen 2022'!Q45</f>
        <v>5.14</v>
      </c>
      <c r="E58" s="43">
        <f>'[1]Lonen 2022'!R45</f>
        <v>7.1399999999999988</v>
      </c>
      <c r="F58" s="43">
        <f>'[1]Lonen 2022'!S45</f>
        <v>6.9399999999999995</v>
      </c>
      <c r="G58" s="43">
        <f>'[1]Lonen 2022'!T45</f>
        <v>7.339999999999999</v>
      </c>
      <c r="H58" s="43">
        <f>'[1]Lonen 2022'!U45</f>
        <v>6.9399999999999995</v>
      </c>
      <c r="I58" s="43">
        <f>'[1]Lonen 2022'!V45</f>
        <v>6.9399999999999995</v>
      </c>
      <c r="J58" s="43">
        <f>'[1]Lonen 2022'!W45</f>
        <v>6.9399999999999995</v>
      </c>
      <c r="K58" s="43">
        <f>'[1]Lonen 2022'!X45</f>
        <v>6.5399999999999991</v>
      </c>
      <c r="L58" s="43">
        <f>'[1]Lonen 2022'!Y45</f>
        <v>6.76</v>
      </c>
      <c r="M58" s="63">
        <f>'[1]Lonen 2022'!Z45</f>
        <v>7.56</v>
      </c>
      <c r="N58" s="60">
        <f>AVERAGE(B58:M58)</f>
        <v>6.66</v>
      </c>
    </row>
    <row r="59" spans="1:16" x14ac:dyDescent="0.2">
      <c r="A59" s="53" t="s">
        <v>76</v>
      </c>
      <c r="B59" s="42">
        <f t="shared" ref="B59:N59" si="7">B53+B57</f>
        <v>21039.63</v>
      </c>
      <c r="C59" s="42">
        <f t="shared" si="7"/>
        <v>21644.79</v>
      </c>
      <c r="D59" s="42">
        <f t="shared" si="7"/>
        <v>20629.39</v>
      </c>
      <c r="E59" s="42">
        <f t="shared" si="7"/>
        <v>25020.010000000002</v>
      </c>
      <c r="F59" s="42">
        <f t="shared" si="7"/>
        <v>40513.339999999997</v>
      </c>
      <c r="G59" s="42">
        <f t="shared" si="7"/>
        <v>27164.41</v>
      </c>
      <c r="H59" s="42">
        <f t="shared" si="7"/>
        <v>26871.47</v>
      </c>
      <c r="I59" s="42">
        <f t="shared" si="7"/>
        <v>27242.720000000001</v>
      </c>
      <c r="J59" s="42">
        <f t="shared" si="7"/>
        <v>27292.409999999996</v>
      </c>
      <c r="K59" s="42">
        <f t="shared" si="7"/>
        <v>25885.269999999997</v>
      </c>
      <c r="L59" s="42">
        <f t="shared" si="7"/>
        <v>28028.239999999998</v>
      </c>
      <c r="M59" s="42">
        <f t="shared" si="7"/>
        <v>31443.46</v>
      </c>
      <c r="N59" s="64">
        <f t="shared" si="7"/>
        <v>322775.14</v>
      </c>
    </row>
    <row r="60" spans="1:16" ht="15" customHeight="1" x14ac:dyDescent="0.2">
      <c r="A60" s="53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6"/>
    </row>
    <row r="61" spans="1:16" ht="15" customHeight="1" x14ac:dyDescent="0.2"/>
    <row r="63" spans="1:16" ht="16" x14ac:dyDescent="0.2">
      <c r="A63" s="11" t="s">
        <v>54</v>
      </c>
      <c r="B63" s="194">
        <v>2023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6"/>
      <c r="N63" s="12">
        <v>2023</v>
      </c>
      <c r="O63" s="13"/>
    </row>
    <row r="64" spans="1:16" ht="16" x14ac:dyDescent="0.2">
      <c r="A64" s="11"/>
      <c r="B64" s="14" t="s">
        <v>0</v>
      </c>
      <c r="C64" s="14" t="s">
        <v>1</v>
      </c>
      <c r="D64" s="14" t="s">
        <v>2</v>
      </c>
      <c r="E64" s="14" t="s">
        <v>3</v>
      </c>
      <c r="F64" s="14" t="s">
        <v>4</v>
      </c>
      <c r="G64" s="14" t="s">
        <v>46</v>
      </c>
      <c r="H64" s="14" t="s">
        <v>47</v>
      </c>
      <c r="I64" s="14" t="s">
        <v>7</v>
      </c>
      <c r="J64" s="14" t="s">
        <v>8</v>
      </c>
      <c r="K64" s="14" t="s">
        <v>9</v>
      </c>
      <c r="L64" s="14" t="s">
        <v>10</v>
      </c>
      <c r="M64" s="14" t="s">
        <v>11</v>
      </c>
      <c r="N64" s="12" t="s">
        <v>40</v>
      </c>
      <c r="O64" s="13"/>
      <c r="P64" s="67" t="s">
        <v>78</v>
      </c>
    </row>
    <row r="65" spans="1:16" x14ac:dyDescent="0.2">
      <c r="A65" s="15" t="s">
        <v>61</v>
      </c>
      <c r="B65" s="68" t="s">
        <v>65</v>
      </c>
      <c r="C65" s="16" t="s">
        <v>65</v>
      </c>
      <c r="D65" s="17">
        <v>0.54</v>
      </c>
      <c r="E65" s="17">
        <v>0.48</v>
      </c>
      <c r="F65" s="17">
        <v>0.44</v>
      </c>
      <c r="G65" s="17">
        <v>0.61</v>
      </c>
      <c r="H65" s="16" t="s">
        <v>65</v>
      </c>
      <c r="I65" s="16" t="s">
        <v>65</v>
      </c>
      <c r="J65" s="16">
        <v>0.65</v>
      </c>
      <c r="K65" s="16">
        <v>0.5</v>
      </c>
      <c r="L65" s="16">
        <v>0.73</v>
      </c>
      <c r="M65" s="18">
        <v>0.45</v>
      </c>
      <c r="N65" s="19">
        <f>AVERAGE(D65:M65)</f>
        <v>0.54999999999999993</v>
      </c>
      <c r="O65" s="20"/>
      <c r="P65" s="69">
        <v>82</v>
      </c>
    </row>
    <row r="66" spans="1:16" x14ac:dyDescent="0.2">
      <c r="A66" s="15" t="s">
        <v>55</v>
      </c>
      <c r="B66" s="21">
        <v>0.53</v>
      </c>
      <c r="C66" s="17">
        <v>0.53</v>
      </c>
      <c r="D66" s="17">
        <v>0.56999999999999995</v>
      </c>
      <c r="E66" s="17">
        <v>0.6</v>
      </c>
      <c r="F66" s="17">
        <v>0.57999999999999996</v>
      </c>
      <c r="G66" s="17">
        <v>0.55000000000000004</v>
      </c>
      <c r="H66" s="17">
        <v>1</v>
      </c>
      <c r="I66" s="16">
        <v>0.33</v>
      </c>
      <c r="J66" s="16">
        <v>0.45</v>
      </c>
      <c r="K66" s="16">
        <v>0.68</v>
      </c>
      <c r="L66" s="16">
        <v>0.66</v>
      </c>
      <c r="M66" s="18">
        <v>0.27</v>
      </c>
      <c r="N66" s="19">
        <f>AVERAGE(B66:M66)</f>
        <v>0.5625</v>
      </c>
      <c r="O66" s="20"/>
      <c r="P66" s="69">
        <v>190</v>
      </c>
    </row>
    <row r="67" spans="1:16" x14ac:dyDescent="0.2">
      <c r="A67" s="15" t="s">
        <v>59</v>
      </c>
      <c r="B67" s="21">
        <v>0.59</v>
      </c>
      <c r="C67" s="17">
        <v>0.65</v>
      </c>
      <c r="D67" s="17">
        <v>0.65</v>
      </c>
      <c r="E67" s="17">
        <v>0.55000000000000004</v>
      </c>
      <c r="F67" s="17">
        <v>0.44</v>
      </c>
      <c r="G67" s="17">
        <v>0.59</v>
      </c>
      <c r="H67" s="17">
        <v>0.55000000000000004</v>
      </c>
      <c r="I67" s="16">
        <v>0.22</v>
      </c>
      <c r="J67" s="16">
        <v>0.71</v>
      </c>
      <c r="K67" s="16">
        <v>0.59</v>
      </c>
      <c r="L67" s="16">
        <v>0.75</v>
      </c>
      <c r="M67" s="18">
        <v>0.64</v>
      </c>
      <c r="N67" s="19">
        <f>AVERAGE(B67:M67)</f>
        <v>0.57750000000000001</v>
      </c>
      <c r="O67" s="20"/>
      <c r="P67" s="69">
        <v>101</v>
      </c>
    </row>
    <row r="68" spans="1:16" x14ac:dyDescent="0.2">
      <c r="A68" s="15" t="s">
        <v>66</v>
      </c>
      <c r="B68" s="21">
        <v>0.71</v>
      </c>
      <c r="C68" s="17">
        <v>0.6</v>
      </c>
      <c r="D68" s="17">
        <v>0.67</v>
      </c>
      <c r="E68" s="17">
        <v>0.5</v>
      </c>
      <c r="F68" s="17">
        <v>0.36</v>
      </c>
      <c r="G68" s="17">
        <v>0.66</v>
      </c>
      <c r="H68" s="17">
        <v>1</v>
      </c>
      <c r="I68" s="16">
        <v>0.39</v>
      </c>
      <c r="J68" s="16">
        <v>0.48</v>
      </c>
      <c r="K68" s="16">
        <v>0.7</v>
      </c>
      <c r="L68" s="16">
        <v>0.75</v>
      </c>
      <c r="M68" s="18">
        <v>0.64</v>
      </c>
      <c r="N68" s="19">
        <f>AVERAGE(B68:M68)</f>
        <v>0.62166666666666659</v>
      </c>
      <c r="O68" s="20"/>
      <c r="P68" s="69">
        <v>45</v>
      </c>
    </row>
    <row r="69" spans="1:16" x14ac:dyDescent="0.2">
      <c r="A69" s="15" t="s">
        <v>60</v>
      </c>
      <c r="B69" s="21">
        <v>0.62</v>
      </c>
      <c r="C69" s="17">
        <v>0.57999999999999996</v>
      </c>
      <c r="D69" s="17">
        <v>0.67</v>
      </c>
      <c r="E69" s="17">
        <v>0.33</v>
      </c>
      <c r="F69" s="17">
        <v>0.72</v>
      </c>
      <c r="G69" s="17">
        <v>0.59</v>
      </c>
      <c r="H69" s="17">
        <v>0.4</v>
      </c>
      <c r="I69" s="16">
        <v>0.56000000000000005</v>
      </c>
      <c r="J69" s="16">
        <v>0.62</v>
      </c>
      <c r="K69" s="16">
        <v>0.59</v>
      </c>
      <c r="L69" s="16">
        <v>0.8</v>
      </c>
      <c r="M69" s="18">
        <v>0.75</v>
      </c>
      <c r="N69" s="19">
        <f>AVERAGE(B69:M69)</f>
        <v>0.60249999999999992</v>
      </c>
      <c r="O69" s="20"/>
      <c r="P69" s="69">
        <v>80</v>
      </c>
    </row>
    <row r="70" spans="1:16" x14ac:dyDescent="0.2">
      <c r="A70" s="15" t="s">
        <v>58</v>
      </c>
      <c r="B70" s="21">
        <v>0.53</v>
      </c>
      <c r="C70" s="17">
        <v>0.55000000000000004</v>
      </c>
      <c r="D70" s="17">
        <v>0.61</v>
      </c>
      <c r="E70" s="17">
        <v>0.42</v>
      </c>
      <c r="F70" s="17">
        <v>0.64</v>
      </c>
      <c r="G70" s="17">
        <v>0.68</v>
      </c>
      <c r="H70" s="17">
        <v>1</v>
      </c>
      <c r="I70" s="16">
        <v>0.11</v>
      </c>
      <c r="J70" s="16">
        <v>0.52</v>
      </c>
      <c r="K70" s="16">
        <v>0.52</v>
      </c>
      <c r="L70" s="16">
        <v>0.84</v>
      </c>
      <c r="M70" s="18">
        <v>0.91</v>
      </c>
      <c r="N70" s="19">
        <f>AVERAGE(B70:M70)</f>
        <v>0.61083333333333334</v>
      </c>
      <c r="O70" s="20"/>
      <c r="P70" s="69">
        <v>150</v>
      </c>
    </row>
    <row r="71" spans="1:16" x14ac:dyDescent="0.2">
      <c r="A71" s="15" t="s">
        <v>77</v>
      </c>
      <c r="B71" s="17"/>
      <c r="C71" s="17"/>
      <c r="D71" s="17"/>
      <c r="E71" s="17"/>
      <c r="F71" s="17"/>
      <c r="G71" s="17"/>
      <c r="H71" s="17"/>
      <c r="I71" s="16"/>
      <c r="J71" s="16"/>
      <c r="K71" s="16"/>
      <c r="L71" s="16"/>
      <c r="M71" s="18"/>
      <c r="N71" s="19"/>
      <c r="O71" s="20"/>
      <c r="P71" s="69">
        <v>117</v>
      </c>
    </row>
    <row r="72" spans="1:16" x14ac:dyDescent="0.2">
      <c r="A72" s="22" t="s">
        <v>67</v>
      </c>
      <c r="B72" s="23">
        <f>AVERAGE(B66:B70)</f>
        <v>0.59600000000000009</v>
      </c>
      <c r="C72" s="23">
        <f>AVERAGE(C66:C70)</f>
        <v>0.58200000000000007</v>
      </c>
      <c r="D72" s="23">
        <f t="shared" ref="D72:M72" si="8">AVERAGE(D65:D70)</f>
        <v>0.61833333333333329</v>
      </c>
      <c r="E72" s="23">
        <f t="shared" si="8"/>
        <v>0.48</v>
      </c>
      <c r="F72" s="23">
        <f t="shared" si="8"/>
        <v>0.53</v>
      </c>
      <c r="G72" s="23">
        <f t="shared" si="8"/>
        <v>0.6133333333333334</v>
      </c>
      <c r="H72" s="23">
        <f>AVERAGE(H66:H70)</f>
        <v>0.78999999999999992</v>
      </c>
      <c r="I72" s="23">
        <f>AVERAGE(I66:I70)</f>
        <v>0.32200000000000001</v>
      </c>
      <c r="J72" s="23">
        <f t="shared" si="8"/>
        <v>0.57166666666666666</v>
      </c>
      <c r="K72" s="23">
        <f t="shared" si="8"/>
        <v>0.59666666666666657</v>
      </c>
      <c r="L72" s="23">
        <f t="shared" si="8"/>
        <v>0.755</v>
      </c>
      <c r="M72" s="23">
        <f t="shared" si="8"/>
        <v>0.61</v>
      </c>
      <c r="N72" s="24">
        <f>AVERAGE(N65:N70)</f>
        <v>0.58750000000000002</v>
      </c>
      <c r="O72" s="25"/>
      <c r="P72" s="69"/>
    </row>
    <row r="73" spans="1:16" x14ac:dyDescent="0.2">
      <c r="P73" s="69"/>
    </row>
    <row r="74" spans="1:16" x14ac:dyDescent="0.2">
      <c r="P74" s="69"/>
    </row>
    <row r="75" spans="1:16" x14ac:dyDescent="0.2">
      <c r="A75" s="26"/>
      <c r="B75" s="191">
        <v>2023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3"/>
      <c r="P75" s="69"/>
    </row>
    <row r="76" spans="1:16" x14ac:dyDescent="0.2">
      <c r="A76" s="26"/>
      <c r="B76" s="29" t="s">
        <v>0</v>
      </c>
      <c r="C76" s="30" t="s">
        <v>1</v>
      </c>
      <c r="D76" s="30" t="s">
        <v>2</v>
      </c>
      <c r="E76" s="30" t="s">
        <v>3</v>
      </c>
      <c r="F76" s="30" t="s">
        <v>4</v>
      </c>
      <c r="G76" s="30" t="s">
        <v>46</v>
      </c>
      <c r="H76" s="30" t="s">
        <v>47</v>
      </c>
      <c r="I76" s="31" t="s">
        <v>7</v>
      </c>
      <c r="J76" s="31" t="s">
        <v>8</v>
      </c>
      <c r="K76" s="31" t="s">
        <v>9</v>
      </c>
      <c r="L76" s="31" t="s">
        <v>10</v>
      </c>
      <c r="M76" s="31" t="s">
        <v>11</v>
      </c>
      <c r="N76" s="71"/>
    </row>
    <row r="77" spans="1:16" ht="16" x14ac:dyDescent="0.2">
      <c r="A77" s="32" t="s">
        <v>54</v>
      </c>
      <c r="B77" s="72">
        <f>AVERAGE(B66:B70)</f>
        <v>0.59600000000000009</v>
      </c>
      <c r="C77" s="33">
        <f>AVERAGE(C66:C70)</f>
        <v>0.58200000000000007</v>
      </c>
      <c r="D77" s="33">
        <f t="shared" ref="D77:L77" si="9">AVERAGE(D65:D70)</f>
        <v>0.61833333333333329</v>
      </c>
      <c r="E77" s="33">
        <f t="shared" si="9"/>
        <v>0.48</v>
      </c>
      <c r="F77" s="33">
        <f t="shared" si="9"/>
        <v>0.53</v>
      </c>
      <c r="G77" s="33">
        <f t="shared" si="9"/>
        <v>0.6133333333333334</v>
      </c>
      <c r="H77" s="33">
        <f t="shared" si="9"/>
        <v>0.78999999999999992</v>
      </c>
      <c r="I77" s="33">
        <f t="shared" si="9"/>
        <v>0.32200000000000001</v>
      </c>
      <c r="J77" s="33">
        <f t="shared" si="9"/>
        <v>0.57166666666666666</v>
      </c>
      <c r="K77" s="33">
        <f t="shared" si="9"/>
        <v>0.59666666666666657</v>
      </c>
      <c r="L77" s="33">
        <f t="shared" si="9"/>
        <v>0.755</v>
      </c>
      <c r="M77" s="55">
        <f>AVERAGE(M66:M70)</f>
        <v>0.64200000000000002</v>
      </c>
      <c r="N77" s="34">
        <f>AVERAGE(B77:M77)</f>
        <v>0.5914166666666667</v>
      </c>
      <c r="O77" s="35">
        <f>N78/59</f>
        <v>8360.1657627118657</v>
      </c>
    </row>
    <row r="78" spans="1:16" x14ac:dyDescent="0.2">
      <c r="A78" s="32" t="s">
        <v>68</v>
      </c>
      <c r="B78" s="73">
        <f>[1]kengetallen!H85</f>
        <v>31089.94</v>
      </c>
      <c r="C78" s="36">
        <f>[1]kengetallen!I85</f>
        <v>21379.360000000001</v>
      </c>
      <c r="D78" s="36">
        <f>[1]kengetallen!J85</f>
        <v>52905.32</v>
      </c>
      <c r="E78" s="36">
        <f>[1]kengetallen!K85</f>
        <v>50794.59</v>
      </c>
      <c r="F78" s="36">
        <f>[1]kengetallen!L85</f>
        <v>48554.9</v>
      </c>
      <c r="G78" s="36">
        <f>[1]kengetallen!M85</f>
        <v>68816.95</v>
      </c>
      <c r="H78" s="36">
        <f>[1]kengetallen!N85</f>
        <v>9974</v>
      </c>
      <c r="I78" s="36">
        <f>[1]kengetallen!O85</f>
        <v>13256.57</v>
      </c>
      <c r="J78" s="36">
        <f>[1]kengetallen!P85</f>
        <v>45785.69</v>
      </c>
      <c r="K78" s="36">
        <f>[1]kengetallen!Q85</f>
        <v>58329.31</v>
      </c>
      <c r="L78" s="36">
        <f>'[1]nov 23'!E26</f>
        <v>66977.279999999999</v>
      </c>
      <c r="M78" s="74">
        <f>'[1]dec 23'!E26</f>
        <v>25385.87</v>
      </c>
      <c r="N78" s="56">
        <f>SUM(B78:M78)</f>
        <v>493249.78</v>
      </c>
    </row>
    <row r="79" spans="1:16" x14ac:dyDescent="0.2">
      <c r="A79" s="32" t="s">
        <v>69</v>
      </c>
      <c r="B79" s="75">
        <f>[1]kengetallen!H75</f>
        <v>0.29582696340910658</v>
      </c>
      <c r="C79" s="38">
        <f>[1]kengetallen!I75</f>
        <v>0.63797077535467639</v>
      </c>
      <c r="D79" s="38">
        <f>[1]kengetallen!J75</f>
        <v>0.53295932678821878</v>
      </c>
      <c r="E79" s="38">
        <f>[1]kengetallen!K75</f>
        <v>0.37391304347826088</v>
      </c>
      <c r="F79" s="38">
        <f>[1]kengetallen!L75</f>
        <v>0.41654978962131839</v>
      </c>
      <c r="G79" s="38">
        <f>[1]kengetallen!M75</f>
        <v>0.67826086956521736</v>
      </c>
      <c r="H79" s="38">
        <f>[1]kengetallen!N75</f>
        <v>0.67297129116763588</v>
      </c>
      <c r="I79" s="38">
        <f>[1]kengetallen!O75</f>
        <v>0.50893453894552465</v>
      </c>
      <c r="J79" s="38">
        <f>[1]kengetallen!P75</f>
        <v>0.63455584663014997</v>
      </c>
      <c r="K79" s="38">
        <f>[1]kengetallen!Q75</f>
        <v>0.79354531416850393</v>
      </c>
      <c r="L79" s="38">
        <f>[1]kengetallen!R75</f>
        <v>0.85911328093990624</v>
      </c>
      <c r="M79" s="57">
        <f>[1]kengetallen!S75</f>
        <v>0.34209373967688156</v>
      </c>
      <c r="N79" s="58">
        <f>AVERAGE(B79:M79)</f>
        <v>0.56222456497878337</v>
      </c>
    </row>
    <row r="80" spans="1:16" x14ac:dyDescent="0.2">
      <c r="A80" s="32" t="s">
        <v>70</v>
      </c>
      <c r="B80" s="76">
        <f>[1]kengetallen!H81</f>
        <v>13707.8</v>
      </c>
      <c r="C80" s="40">
        <f>[1]kengetallen!I81</f>
        <v>28231.47</v>
      </c>
      <c r="D80" s="40">
        <f>[1]kengetallen!J81</f>
        <v>25881.93</v>
      </c>
      <c r="E80" s="40">
        <f>[1]kengetallen!K81</f>
        <v>53070.45</v>
      </c>
      <c r="F80" s="40">
        <f>[1]kengetallen!L81</f>
        <v>27889.75</v>
      </c>
      <c r="G80" s="40">
        <f>[1]kengetallen!M81</f>
        <v>34643.75</v>
      </c>
      <c r="H80" s="40">
        <f>[1]kengetallen!N81</f>
        <v>27790.83</v>
      </c>
      <c r="I80" s="40">
        <f>[1]kengetallen!O81</f>
        <v>20812.84</v>
      </c>
      <c r="J80" s="40">
        <f>[1]kengetallen!P81</f>
        <v>32966.65</v>
      </c>
      <c r="K80" s="40">
        <f>[1]kengetallen!Q81</f>
        <v>54747.86</v>
      </c>
      <c r="L80" s="40">
        <f>[1]kengetallen!R81</f>
        <v>47781.42</v>
      </c>
      <c r="M80" s="59">
        <f>[1]kengetallen!S81</f>
        <v>17259.63</v>
      </c>
      <c r="N80" s="56">
        <f>SUM(B80:M80)</f>
        <v>384784.38</v>
      </c>
    </row>
    <row r="81" spans="1:15" x14ac:dyDescent="0.2">
      <c r="A81" s="41" t="s">
        <v>71</v>
      </c>
      <c r="B81" s="77">
        <f>'[1]Lonen 2023'!B73-(0.4*'[1]Lonen 2023'!B70)</f>
        <v>10143.671999999999</v>
      </c>
      <c r="C81" s="77">
        <f>'[1]Lonen 2023'!C73-(0.4*'[1]Lonen 2023'!C70)</f>
        <v>10143.671999999999</v>
      </c>
      <c r="D81" s="77">
        <f>'[1]Lonen 2023'!D73-(0.4*'[1]Lonen 2023'!D70)</f>
        <v>10143.671999999999</v>
      </c>
      <c r="E81" s="77">
        <f>'[1]Lonen 2023'!E73-(0.4*'[1]Lonen 2023'!E70)</f>
        <v>10143.671999999999</v>
      </c>
      <c r="F81" s="42">
        <f>'[1]Lonen 2023'!F73</f>
        <v>12621.16</v>
      </c>
      <c r="G81" s="42">
        <f>'[1]Lonen 2023'!G73</f>
        <v>14978.029999999999</v>
      </c>
      <c r="H81" s="42">
        <f>'[1]Lonen 2023'!H73</f>
        <v>7655.75</v>
      </c>
      <c r="I81" s="42">
        <f>'[1]Lonen 2023'!I73</f>
        <v>7655.75</v>
      </c>
      <c r="J81" s="42">
        <f>'[1]Lonen 2023'!J73</f>
        <v>7930.14</v>
      </c>
      <c r="K81" s="42">
        <f>'[1]Lonen 2023'!K73</f>
        <v>9244.77</v>
      </c>
      <c r="L81" s="42">
        <f>'[1]Lonen 2023'!L73</f>
        <v>9244.77</v>
      </c>
      <c r="M81" s="42">
        <f>'[1]Lonen 2023'!M73</f>
        <v>10646.63</v>
      </c>
      <c r="N81" s="56">
        <f>SUM(B81:M81)</f>
        <v>120551.68800000001</v>
      </c>
    </row>
    <row r="82" spans="1:15" x14ac:dyDescent="0.2">
      <c r="A82" s="41" t="s">
        <v>72</v>
      </c>
      <c r="B82" s="78">
        <v>2.8</v>
      </c>
      <c r="C82" s="43">
        <v>2.8</v>
      </c>
      <c r="D82" s="43">
        <v>2.8</v>
      </c>
      <c r="E82" s="43">
        <v>2.8</v>
      </c>
      <c r="F82" s="43">
        <v>2.8</v>
      </c>
      <c r="G82" s="43">
        <v>3.4</v>
      </c>
      <c r="H82" s="43">
        <v>2.4</v>
      </c>
      <c r="I82" s="43">
        <v>2.4</v>
      </c>
      <c r="J82" s="43">
        <v>2.4</v>
      </c>
      <c r="K82" s="43">
        <v>2.8</v>
      </c>
      <c r="L82" s="43">
        <v>2.8</v>
      </c>
      <c r="M82" s="63">
        <v>2.8</v>
      </c>
      <c r="N82" s="60">
        <f>AVERAGE(B82:M82)</f>
        <v>2.7499999999999996</v>
      </c>
    </row>
    <row r="83" spans="1:15" x14ac:dyDescent="0.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61"/>
    </row>
    <row r="84" spans="1:15" x14ac:dyDescent="0.2">
      <c r="A84" s="48" t="s">
        <v>73</v>
      </c>
      <c r="B84" s="76">
        <f>[1]kengetallen!H82</f>
        <v>43518.52</v>
      </c>
      <c r="C84" s="40">
        <f>[1]kengetallen!I82</f>
        <v>52732.4</v>
      </c>
      <c r="D84" s="40">
        <f>[1]kengetallen!J82</f>
        <v>78862.44</v>
      </c>
      <c r="E84" s="40">
        <f>[1]kengetallen!K82</f>
        <v>76785.600000000006</v>
      </c>
      <c r="F84" s="40">
        <f>[1]kengetallen!L82</f>
        <v>53632.35</v>
      </c>
      <c r="G84" s="40">
        <f>[1]kengetallen!M82</f>
        <v>91322.41</v>
      </c>
      <c r="H84" s="40">
        <f>[1]kengetallen!N82</f>
        <v>59091.199999999997</v>
      </c>
      <c r="I84" s="40">
        <f>[1]kengetallen!O82</f>
        <v>48083.11</v>
      </c>
      <c r="J84" s="40">
        <f>[1]kengetallen!P82</f>
        <v>85642.41</v>
      </c>
      <c r="K84" s="40">
        <f>[1]kengetallen!Q82</f>
        <v>114591.12</v>
      </c>
      <c r="L84" s="40">
        <f>[1]kengetallen!R82</f>
        <v>107403.68</v>
      </c>
      <c r="M84" s="40">
        <f>[1]kengetallen!S82</f>
        <v>43115.15</v>
      </c>
      <c r="N84" s="62">
        <f>SUM(B84:M84)</f>
        <v>854780.39</v>
      </c>
    </row>
    <row r="85" spans="1:15" x14ac:dyDescent="0.2">
      <c r="A85" s="50" t="s">
        <v>74</v>
      </c>
      <c r="B85" s="77">
        <f>'[1]Lonen 2023'!B96+'[1]Lonen 2023'!B103</f>
        <v>32613.949999999997</v>
      </c>
      <c r="C85" s="42">
        <f>'[1]Lonen 2023'!C96+'[1]Lonen 2023'!C103</f>
        <v>31743.489999999998</v>
      </c>
      <c r="D85" s="42">
        <f>'[1]Lonen 2023'!D96+'[1]Lonen 2023'!D103</f>
        <v>31191.05</v>
      </c>
      <c r="E85" s="42">
        <f>'[1]Lonen 2023'!E96+'[1]Lonen 2023'!E103</f>
        <v>31961.420000000002</v>
      </c>
      <c r="F85" s="42">
        <f>'[1]Lonen 2023'!F96+'[1]Lonen 2023'!F103</f>
        <v>32685.13</v>
      </c>
      <c r="G85" s="42">
        <f>'[1]Lonen 2023'!G96+'[1]Lonen 2023'!G103</f>
        <v>28171.440000000002</v>
      </c>
      <c r="H85" s="79">
        <f>'[1]Lonen 2023'!H96+'[1]Lonen 2023'!H103</f>
        <v>25507.86</v>
      </c>
      <c r="I85" s="79">
        <f>'[1]Lonen 2023'!I96+'[1]Lonen 2023'!I103</f>
        <v>24518.29</v>
      </c>
      <c r="J85" s="79">
        <f>'[1]Lonen 2023'!J96+'[1]Lonen 2023'!J103</f>
        <v>24038.97</v>
      </c>
      <c r="K85" s="79">
        <f>'[1]Lonen 2023'!K96+'[1]Lonen 2023'!K103</f>
        <v>24579.589999999997</v>
      </c>
      <c r="L85" s="79">
        <f>'[1]Lonen 2023'!L96+'[1]Lonen 2023'!L103</f>
        <v>27313.09</v>
      </c>
      <c r="M85" s="79">
        <f>'[1]Lonen 2023'!M96+'[1]Lonen 2023'!M103</f>
        <v>30561.35</v>
      </c>
      <c r="N85" s="62">
        <f>SUM(B85:M85)</f>
        <v>344885.62999999995</v>
      </c>
    </row>
    <row r="86" spans="1:15" x14ac:dyDescent="0.2">
      <c r="A86" s="41" t="s">
        <v>75</v>
      </c>
      <c r="B86" s="78">
        <v>8.26</v>
      </c>
      <c r="C86" s="78">
        <v>8.26</v>
      </c>
      <c r="D86" s="78">
        <v>8.26</v>
      </c>
      <c r="E86" s="78">
        <v>8.26</v>
      </c>
      <c r="F86" s="78">
        <v>8.26</v>
      </c>
      <c r="G86" s="78">
        <v>8.26</v>
      </c>
      <c r="H86" s="78">
        <v>6.52</v>
      </c>
      <c r="I86" s="78">
        <v>6.32</v>
      </c>
      <c r="J86" s="78">
        <v>5.52</v>
      </c>
      <c r="K86" s="45">
        <v>5.12</v>
      </c>
      <c r="L86" s="45">
        <v>6.52</v>
      </c>
      <c r="M86" s="45">
        <v>6.52</v>
      </c>
      <c r="N86" s="60">
        <f>AVERAGE(B86:M86)</f>
        <v>7.1733333333333329</v>
      </c>
    </row>
    <row r="87" spans="1:15" x14ac:dyDescent="0.2">
      <c r="A87" s="53" t="s">
        <v>76</v>
      </c>
      <c r="B87" s="42">
        <f t="shared" ref="B87:L87" si="10">B81+B85</f>
        <v>42757.621999999996</v>
      </c>
      <c r="C87" s="42">
        <f t="shared" si="10"/>
        <v>41887.161999999997</v>
      </c>
      <c r="D87" s="42">
        <f t="shared" si="10"/>
        <v>41334.721999999994</v>
      </c>
      <c r="E87" s="42">
        <f t="shared" si="10"/>
        <v>42105.092000000004</v>
      </c>
      <c r="F87" s="42">
        <f t="shared" si="10"/>
        <v>45306.29</v>
      </c>
      <c r="G87" s="42">
        <f t="shared" si="10"/>
        <v>43149.47</v>
      </c>
      <c r="H87" s="42">
        <f t="shared" si="10"/>
        <v>33163.61</v>
      </c>
      <c r="I87" s="42">
        <f t="shared" si="10"/>
        <v>32174.04</v>
      </c>
      <c r="J87" s="42">
        <f t="shared" si="10"/>
        <v>31969.11</v>
      </c>
      <c r="K87" s="42">
        <f t="shared" si="10"/>
        <v>33824.36</v>
      </c>
      <c r="L87" s="42">
        <f t="shared" si="10"/>
        <v>36557.86</v>
      </c>
      <c r="M87" s="42">
        <f>M81+M85</f>
        <v>41207.979999999996</v>
      </c>
      <c r="N87" s="64">
        <f t="shared" ref="N87" si="11">N81+N85</f>
        <v>465437.31799999997</v>
      </c>
    </row>
    <row r="90" spans="1:15" ht="16" x14ac:dyDescent="0.2">
      <c r="A90" s="11" t="s">
        <v>54</v>
      </c>
      <c r="B90" s="194">
        <v>2024</v>
      </c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6"/>
      <c r="N90" s="12">
        <v>2024</v>
      </c>
      <c r="O90" s="13"/>
    </row>
    <row r="91" spans="1:15" ht="16" x14ac:dyDescent="0.2">
      <c r="A91" s="11"/>
      <c r="B91" s="14" t="s">
        <v>0</v>
      </c>
      <c r="C91" s="14" t="s">
        <v>1</v>
      </c>
      <c r="D91" s="14" t="s">
        <v>2</v>
      </c>
      <c r="E91" s="14" t="s">
        <v>3</v>
      </c>
      <c r="F91" s="14" t="s">
        <v>4</v>
      </c>
      <c r="G91" s="14" t="s">
        <v>46</v>
      </c>
      <c r="H91" s="14" t="s">
        <v>47</v>
      </c>
      <c r="I91" s="14" t="s">
        <v>7</v>
      </c>
      <c r="J91" s="14" t="s">
        <v>8</v>
      </c>
      <c r="K91" s="14" t="s">
        <v>9</v>
      </c>
      <c r="L91" s="14" t="s">
        <v>10</v>
      </c>
      <c r="M91" s="14" t="s">
        <v>11</v>
      </c>
      <c r="N91" s="12" t="s">
        <v>40</v>
      </c>
      <c r="O91" s="13"/>
    </row>
    <row r="92" spans="1:15" x14ac:dyDescent="0.2">
      <c r="A92" s="15" t="s">
        <v>61</v>
      </c>
      <c r="B92" s="68" t="s">
        <v>65</v>
      </c>
      <c r="C92" s="16">
        <v>0.5</v>
      </c>
      <c r="D92" s="17">
        <v>0.38</v>
      </c>
      <c r="E92" s="17">
        <v>0.43</v>
      </c>
      <c r="F92" s="17">
        <v>0.33</v>
      </c>
      <c r="G92" s="17">
        <v>0.68</v>
      </c>
      <c r="H92" s="16" t="s">
        <v>65</v>
      </c>
      <c r="I92" s="16" t="s">
        <v>65</v>
      </c>
      <c r="J92" s="16">
        <v>0.55000000000000004</v>
      </c>
      <c r="K92" s="80">
        <v>0.24</v>
      </c>
      <c r="L92" s="80">
        <v>0.55000000000000004</v>
      </c>
      <c r="M92" s="81" t="s">
        <v>65</v>
      </c>
      <c r="N92" s="19">
        <f>AVERAGE(D92:M92)</f>
        <v>0.45142857142857146</v>
      </c>
      <c r="O92" s="20"/>
    </row>
    <row r="93" spans="1:15" x14ac:dyDescent="0.2">
      <c r="A93" s="15" t="s">
        <v>55</v>
      </c>
      <c r="B93" s="21">
        <v>0.25</v>
      </c>
      <c r="C93" s="17">
        <v>0.43</v>
      </c>
      <c r="D93" s="17">
        <v>0.21</v>
      </c>
      <c r="E93" s="17">
        <v>0.36</v>
      </c>
      <c r="F93" s="17">
        <v>0.28000000000000003</v>
      </c>
      <c r="G93" s="17">
        <v>0.4</v>
      </c>
      <c r="H93" s="17">
        <v>0.24</v>
      </c>
      <c r="I93" s="16">
        <v>0.23</v>
      </c>
      <c r="J93" s="16">
        <v>0.48</v>
      </c>
      <c r="K93" s="80">
        <v>0.52</v>
      </c>
      <c r="L93" s="80">
        <v>0.64</v>
      </c>
      <c r="M93" s="82">
        <v>0.11</v>
      </c>
      <c r="N93" s="19">
        <f>AVERAGE(B93:M93)</f>
        <v>0.34583333333333338</v>
      </c>
      <c r="O93" s="20"/>
    </row>
    <row r="94" spans="1:15" x14ac:dyDescent="0.2">
      <c r="A94" s="15" t="s">
        <v>59</v>
      </c>
      <c r="B94" s="21">
        <v>0.42</v>
      </c>
      <c r="C94" s="17">
        <v>0.62</v>
      </c>
      <c r="D94" s="17">
        <v>0.38</v>
      </c>
      <c r="E94" s="17">
        <v>0.36</v>
      </c>
      <c r="F94" s="17">
        <v>0.41</v>
      </c>
      <c r="G94" s="17">
        <v>0.53</v>
      </c>
      <c r="H94" s="17">
        <v>0.13</v>
      </c>
      <c r="I94" s="16">
        <v>0.41</v>
      </c>
      <c r="J94" s="16">
        <v>0.43</v>
      </c>
      <c r="K94" s="80">
        <v>0.46</v>
      </c>
      <c r="L94" s="80">
        <v>0.69</v>
      </c>
      <c r="M94" s="82">
        <v>0.25</v>
      </c>
      <c r="N94" s="19">
        <f>AVERAGE(B94:M94)</f>
        <v>0.42416666666666664</v>
      </c>
      <c r="O94" s="20"/>
    </row>
    <row r="95" spans="1:15" x14ac:dyDescent="0.2">
      <c r="A95" s="15" t="s">
        <v>66</v>
      </c>
      <c r="B95" s="21">
        <v>0.64</v>
      </c>
      <c r="C95" s="17">
        <v>0.31</v>
      </c>
      <c r="D95" s="17">
        <v>0.4</v>
      </c>
      <c r="E95" s="17">
        <v>0.52</v>
      </c>
      <c r="F95" s="17">
        <v>0.41</v>
      </c>
      <c r="G95" s="17">
        <v>0.55000000000000004</v>
      </c>
      <c r="H95" s="17">
        <v>0.17</v>
      </c>
      <c r="I95" s="16">
        <v>0.18</v>
      </c>
      <c r="J95" s="16">
        <v>0.52</v>
      </c>
      <c r="K95" s="80">
        <v>0.61</v>
      </c>
      <c r="L95" s="80">
        <v>0.64</v>
      </c>
      <c r="M95" s="82">
        <v>0.11</v>
      </c>
      <c r="N95" s="19">
        <f>AVERAGE(B95:M95)</f>
        <v>0.42166666666666669</v>
      </c>
      <c r="O95" s="20"/>
    </row>
    <row r="96" spans="1:15" x14ac:dyDescent="0.2">
      <c r="A96" s="15" t="s">
        <v>60</v>
      </c>
      <c r="B96" s="21">
        <v>0.72</v>
      </c>
      <c r="C96" s="17">
        <v>0.38</v>
      </c>
      <c r="D96" s="17">
        <v>0.56999999999999995</v>
      </c>
      <c r="E96" s="17">
        <v>0.75</v>
      </c>
      <c r="F96" s="17">
        <v>0.48</v>
      </c>
      <c r="G96" s="17">
        <v>0.83</v>
      </c>
      <c r="H96" s="17">
        <v>0.22</v>
      </c>
      <c r="I96" s="16">
        <v>0.14000000000000001</v>
      </c>
      <c r="J96" s="16">
        <v>0.62</v>
      </c>
      <c r="K96" s="80">
        <v>0.5</v>
      </c>
      <c r="L96" s="80">
        <v>0.74</v>
      </c>
      <c r="M96" s="82">
        <v>0.32</v>
      </c>
      <c r="N96" s="19">
        <f>AVERAGE(B96:M96)</f>
        <v>0.52250000000000008</v>
      </c>
      <c r="O96" s="20"/>
    </row>
    <row r="97" spans="1:15" x14ac:dyDescent="0.2">
      <c r="A97" s="15" t="s">
        <v>58</v>
      </c>
      <c r="B97" s="21">
        <v>0.42</v>
      </c>
      <c r="C97" s="17">
        <v>0.36</v>
      </c>
      <c r="D97" s="17">
        <v>0.38</v>
      </c>
      <c r="E97" s="17">
        <v>0.39</v>
      </c>
      <c r="F97" s="17">
        <v>0.3</v>
      </c>
      <c r="G97" s="17">
        <v>0.75</v>
      </c>
      <c r="H97" s="17">
        <v>0.41</v>
      </c>
      <c r="I97" s="16">
        <v>0.32</v>
      </c>
      <c r="J97" s="16">
        <v>0.5</v>
      </c>
      <c r="K97" s="80">
        <v>0.59</v>
      </c>
      <c r="L97" s="80">
        <v>0.79</v>
      </c>
      <c r="M97" s="82">
        <v>0.45</v>
      </c>
      <c r="N97" s="19">
        <f>AVERAGE(B97:M97)</f>
        <v>0.47166666666666673</v>
      </c>
      <c r="O97" s="20"/>
    </row>
    <row r="98" spans="1:15" hidden="1" x14ac:dyDescent="0.2">
      <c r="A98" s="15" t="s">
        <v>77</v>
      </c>
      <c r="B98" s="17"/>
      <c r="C98" s="17"/>
      <c r="D98" s="17"/>
      <c r="E98" s="17"/>
      <c r="F98" s="17"/>
      <c r="G98" s="17"/>
      <c r="H98" s="17"/>
      <c r="I98" s="16"/>
      <c r="J98" s="16"/>
      <c r="K98" s="16"/>
      <c r="L98" s="16"/>
      <c r="M98" s="18"/>
      <c r="N98" s="19" t="e">
        <f>AVERAGE(B98:I98)</f>
        <v>#DIV/0!</v>
      </c>
      <c r="O98" s="20"/>
    </row>
    <row r="99" spans="1:15" x14ac:dyDescent="0.2">
      <c r="A99" s="22" t="s">
        <v>67</v>
      </c>
      <c r="B99" s="23">
        <f>AVERAGE(B93:B97)</f>
        <v>0.49000000000000005</v>
      </c>
      <c r="C99" s="23">
        <f>AVERAGE(C92:C97)</f>
        <v>0.43333333333333329</v>
      </c>
      <c r="D99" s="23">
        <f t="shared" ref="D99:L99" si="12">AVERAGE(D92:D97)</f>
        <v>0.38666666666666666</v>
      </c>
      <c r="E99" s="23">
        <f>AVERAGE(E92:E98)</f>
        <v>0.46833333333333332</v>
      </c>
      <c r="F99" s="23">
        <f t="shared" si="12"/>
        <v>0.36833333333333335</v>
      </c>
      <c r="G99" s="23">
        <f t="shared" si="12"/>
        <v>0.62333333333333341</v>
      </c>
      <c r="H99" s="23">
        <f>AVERAGE(H93:H97)</f>
        <v>0.23399999999999999</v>
      </c>
      <c r="I99" s="23">
        <f>AVERAGE(I93:I97)</f>
        <v>0.25600000000000001</v>
      </c>
      <c r="J99" s="23">
        <f>AVERAGE(J92:J97)</f>
        <v>0.51666666666666672</v>
      </c>
      <c r="K99" s="23">
        <f t="shared" si="12"/>
        <v>0.48666666666666664</v>
      </c>
      <c r="L99" s="23">
        <f t="shared" si="12"/>
        <v>0.67499999999999993</v>
      </c>
      <c r="M99" s="23">
        <f>AVERAGE(M93:M97)</f>
        <v>0.248</v>
      </c>
      <c r="N99" s="24">
        <f>AVERAGE(N92:N97)</f>
        <v>0.43954365079365082</v>
      </c>
      <c r="O99" s="25"/>
    </row>
    <row r="101" spans="1:15" x14ac:dyDescent="0.2">
      <c r="A101" s="26"/>
      <c r="B101" s="31">
        <v>2024</v>
      </c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29"/>
    </row>
    <row r="102" spans="1:15" x14ac:dyDescent="0.2">
      <c r="A102" s="26"/>
      <c r="B102" s="29" t="s">
        <v>0</v>
      </c>
      <c r="C102" s="30" t="s">
        <v>1</v>
      </c>
      <c r="D102" s="30" t="s">
        <v>2</v>
      </c>
      <c r="E102" s="30" t="s">
        <v>3</v>
      </c>
      <c r="F102" s="30" t="s">
        <v>4</v>
      </c>
      <c r="G102" s="30" t="s">
        <v>46</v>
      </c>
      <c r="H102" s="30" t="s">
        <v>47</v>
      </c>
      <c r="I102" s="31" t="s">
        <v>7</v>
      </c>
      <c r="J102" s="31" t="s">
        <v>8</v>
      </c>
      <c r="K102" s="31" t="s">
        <v>9</v>
      </c>
      <c r="L102" s="31" t="s">
        <v>10</v>
      </c>
      <c r="M102" s="31" t="s">
        <v>11</v>
      </c>
      <c r="N102" s="71"/>
    </row>
    <row r="103" spans="1:15" ht="16" x14ac:dyDescent="0.2">
      <c r="A103" s="32" t="s">
        <v>54</v>
      </c>
      <c r="B103" s="72">
        <f>AVERAGE(B93:B97)</f>
        <v>0.49000000000000005</v>
      </c>
      <c r="C103" s="33">
        <f>AVERAGE(C93:C97)</f>
        <v>0.42000000000000004</v>
      </c>
      <c r="D103" s="33">
        <f>AVERAGE(D92:D97)</f>
        <v>0.38666666666666666</v>
      </c>
      <c r="E103" s="33">
        <f>AVERAGE(E92:E97)</f>
        <v>0.46833333333333332</v>
      </c>
      <c r="F103" s="33">
        <f>AVERAGE(F92:F97)</f>
        <v>0.36833333333333335</v>
      </c>
      <c r="G103" s="33">
        <f t="shared" ref="G103:H103" si="13">AVERAGE(G92:G97)</f>
        <v>0.62333333333333341</v>
      </c>
      <c r="H103" s="33">
        <f t="shared" si="13"/>
        <v>0.23399999999999999</v>
      </c>
      <c r="I103" s="33">
        <v>0.26</v>
      </c>
      <c r="J103" s="33">
        <v>0.52</v>
      </c>
      <c r="K103" s="33">
        <v>0.49</v>
      </c>
      <c r="L103" s="33">
        <v>0.68</v>
      </c>
      <c r="M103" s="55">
        <f>M99</f>
        <v>0.248</v>
      </c>
      <c r="N103" s="34">
        <f>AVERAGE(B103:M103)</f>
        <v>0.43238888888888888</v>
      </c>
      <c r="O103" s="35">
        <f>N104/43</f>
        <v>8882.6916279069774</v>
      </c>
    </row>
    <row r="104" spans="1:15" x14ac:dyDescent="0.2">
      <c r="A104" s="32" t="s">
        <v>68</v>
      </c>
      <c r="B104" s="73">
        <f>'[1]jan 24'!E26</f>
        <v>26345.8</v>
      </c>
      <c r="C104" s="36">
        <f>'[1]feb 24'!E26</f>
        <v>27694.03</v>
      </c>
      <c r="D104" s="36">
        <f>[1]kengetallen!J116</f>
        <v>31675.49</v>
      </c>
      <c r="E104" s="36">
        <f>[1]kengetallen!K116</f>
        <v>38781.980000000003</v>
      </c>
      <c r="F104" s="36">
        <f>[1]kengetallen!L116</f>
        <v>28665.78</v>
      </c>
      <c r="G104" s="36">
        <f>[1]kengetallen!M116</f>
        <v>49481.440000000002</v>
      </c>
      <c r="H104" s="36">
        <f>[1]kengetallen!N116</f>
        <v>15320.5</v>
      </c>
      <c r="I104" s="36">
        <f>[1]kengetallen!O116</f>
        <v>12908.85</v>
      </c>
      <c r="J104" s="36">
        <f>[1]kengetallen!P116</f>
        <v>38478.18</v>
      </c>
      <c r="K104" s="36">
        <f>[1]kengetallen!Q116</f>
        <v>41288.85</v>
      </c>
      <c r="L104" s="36">
        <f>[1]kengetallen!R116</f>
        <v>53280.37</v>
      </c>
      <c r="M104" s="36">
        <f>[1]kengetallen!S116</f>
        <v>18034.47</v>
      </c>
      <c r="N104" s="56">
        <f>SUM(B104:M104)</f>
        <v>381955.74</v>
      </c>
    </row>
    <row r="105" spans="1:15" x14ac:dyDescent="0.2">
      <c r="A105" s="32" t="s">
        <v>69</v>
      </c>
      <c r="B105" s="38">
        <f>[1]kengetallen!H106</f>
        <v>0.2104437308422128</v>
      </c>
      <c r="C105" s="38">
        <f>[1]kengetallen!I106</f>
        <v>0.56951162427835855</v>
      </c>
      <c r="D105" s="38">
        <f>[1]kengetallen!J106</f>
        <v>0.33830827616406361</v>
      </c>
      <c r="E105" s="38">
        <f>[1]kengetallen!K106</f>
        <v>0.44868024132730011</v>
      </c>
      <c r="F105" s="38">
        <f>[1]kengetallen!L106</f>
        <v>0.35695518902350021</v>
      </c>
      <c r="G105" s="38">
        <f>[1]kengetallen!M106</f>
        <v>0.48721719457013574</v>
      </c>
      <c r="H105" s="38">
        <f>[1]kengetallen!N106</f>
        <v>0.21177565318931543</v>
      </c>
      <c r="I105" s="38">
        <f>[1]kengetallen!O106</f>
        <v>0.12653262297474821</v>
      </c>
      <c r="J105" s="38">
        <f>[1]kengetallen!P106</f>
        <v>0.52162518853695317</v>
      </c>
      <c r="K105" s="38">
        <f>[1]kengetallen!Q106</f>
        <v>0.47682820026273537</v>
      </c>
      <c r="L105" s="38">
        <f>[1]kengetallen!R106</f>
        <v>0.86157616892911004</v>
      </c>
      <c r="M105" s="38">
        <f>[1]kengetallen!S106</f>
        <v>0.18513720624726315</v>
      </c>
      <c r="N105" s="58">
        <f>AVERAGE(B105:M105)</f>
        <v>0.39954927469547474</v>
      </c>
    </row>
    <row r="106" spans="1:15" x14ac:dyDescent="0.2">
      <c r="A106" s="32" t="s">
        <v>70</v>
      </c>
      <c r="B106" s="76">
        <f>[1]kengetallen!H112</f>
        <v>13657.96</v>
      </c>
      <c r="C106" s="40">
        <f>[1]kengetallen!I112</f>
        <v>36995.300000000003</v>
      </c>
      <c r="D106" s="40">
        <f>[1]kengetallen!J112</f>
        <v>23887.94</v>
      </c>
      <c r="E106" s="40">
        <f>[1]kengetallen!K112</f>
        <v>26739.45</v>
      </c>
      <c r="F106" s="40">
        <f>[1]kengetallen!L112</f>
        <v>20567.28</v>
      </c>
      <c r="G106" s="40">
        <f>[1]kengetallen!M112</f>
        <v>25272.57</v>
      </c>
      <c r="H106" s="40">
        <f>[1]kengetallen!N112</f>
        <v>3247.94</v>
      </c>
      <c r="I106" s="40">
        <f>[1]kengetallen!O112</f>
        <v>4050</v>
      </c>
      <c r="J106" s="40">
        <f>[1]kengetallen!P112</f>
        <v>31606.880000000001</v>
      </c>
      <c r="K106" s="40">
        <f>[1]kengetallen!Q112</f>
        <v>32125.94</v>
      </c>
      <c r="L106" s="40">
        <f>[1]kengetallen!R112</f>
        <v>53820.639999999999</v>
      </c>
      <c r="M106" s="40">
        <f>[1]kengetallen!S112</f>
        <v>10217.43</v>
      </c>
      <c r="N106" s="56">
        <f>SUM(B106:M106)</f>
        <v>282189.33</v>
      </c>
    </row>
    <row r="107" spans="1:15" x14ac:dyDescent="0.2">
      <c r="A107" s="41" t="s">
        <v>71</v>
      </c>
      <c r="B107" s="77">
        <f>'[1]Lonen 2024'!F19</f>
        <v>9931</v>
      </c>
      <c r="C107" s="77">
        <f>'[1]Lonen 2024'!H19</f>
        <v>9931</v>
      </c>
      <c r="D107" s="77">
        <f>'[1]Lonen 2024'!J19</f>
        <v>9931</v>
      </c>
      <c r="E107" s="77">
        <f>'[1]Lonen 2024'!L19</f>
        <v>9931</v>
      </c>
      <c r="F107" s="77">
        <f>'[1]Lonen 2024'!N19</f>
        <v>7782</v>
      </c>
      <c r="G107" s="77">
        <f>'[1]Lonen 2024'!P19</f>
        <v>5794</v>
      </c>
      <c r="H107" s="77">
        <f>'[1]Lonen 2024'!R19</f>
        <v>5117</v>
      </c>
      <c r="I107" s="42">
        <f>'[1]Lonen 2024'!T19</f>
        <v>8642</v>
      </c>
      <c r="J107" s="42">
        <f>'[1]Lonen 2024'!V19</f>
        <v>8144</v>
      </c>
      <c r="K107" s="42">
        <f>'[1]Lonen 2024'!X19</f>
        <v>8143</v>
      </c>
      <c r="L107" s="42">
        <f>'[1]Lonen 2024'!Z19</f>
        <v>8143</v>
      </c>
      <c r="M107" s="42">
        <f>'[1]Lonen 2024'!AB19</f>
        <v>8231</v>
      </c>
      <c r="N107" s="56">
        <f>SUM(B107:M107)</f>
        <v>99720</v>
      </c>
    </row>
    <row r="108" spans="1:15" x14ac:dyDescent="0.2">
      <c r="A108" s="41" t="s">
        <v>72</v>
      </c>
      <c r="B108" s="78">
        <v>2.8</v>
      </c>
      <c r="C108" s="78">
        <v>2.8</v>
      </c>
      <c r="D108" s="78">
        <v>2.8</v>
      </c>
      <c r="E108" s="78">
        <v>2.8</v>
      </c>
      <c r="F108" s="43">
        <v>2</v>
      </c>
      <c r="G108" s="43">
        <v>1.6</v>
      </c>
      <c r="H108" s="43">
        <v>1.4</v>
      </c>
      <c r="I108" s="43">
        <v>2.2000000000000002</v>
      </c>
      <c r="J108" s="43">
        <v>2.2000000000000002</v>
      </c>
      <c r="K108" s="43">
        <v>2.2000000000000002</v>
      </c>
      <c r="L108" s="43">
        <v>2.2000000000000002</v>
      </c>
      <c r="M108" s="63">
        <v>2.2000000000000002</v>
      </c>
      <c r="N108" s="60">
        <f>AVERAGE(B108:M108)</f>
        <v>2.2666666666666662</v>
      </c>
    </row>
    <row r="109" spans="1:15" x14ac:dyDescent="0.2"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61"/>
    </row>
    <row r="110" spans="1:15" x14ac:dyDescent="0.2">
      <c r="A110" s="48" t="s">
        <v>73</v>
      </c>
      <c r="B110" s="76">
        <f>[1]kengetallen!H113</f>
        <v>38853.21</v>
      </c>
      <c r="C110" s="40">
        <f>[1]kengetallen!I113</f>
        <v>73288.06</v>
      </c>
      <c r="D110" s="40">
        <f>[1]kengetallen!J113</f>
        <v>61672.28</v>
      </c>
      <c r="E110" s="40">
        <f>[1]kengetallen!K113</f>
        <v>68029.27</v>
      </c>
      <c r="F110" s="40">
        <f>[1]kengetallen!L113</f>
        <v>54503.56</v>
      </c>
      <c r="G110" s="40">
        <f>[1]kengetallen!M113</f>
        <v>71295.5</v>
      </c>
      <c r="H110" s="40">
        <f>[1]kengetallen!N113</f>
        <v>15023.98</v>
      </c>
      <c r="I110" s="40">
        <f>[1]kengetallen!O113</f>
        <v>16337.23</v>
      </c>
      <c r="J110" s="40">
        <f>[1]kengetallen!P113</f>
        <v>76518.42</v>
      </c>
      <c r="K110" s="40">
        <f>[1]kengetallen!Q113</f>
        <v>77481.78</v>
      </c>
      <c r="L110" s="40">
        <f>[1]kengetallen!R113</f>
        <v>112850.19</v>
      </c>
      <c r="M110" s="40">
        <f>[1]kengetallen!S113</f>
        <v>29914.25</v>
      </c>
      <c r="N110" s="62">
        <f>SUM(B110:M110)</f>
        <v>695767.73</v>
      </c>
    </row>
    <row r="111" spans="1:15" x14ac:dyDescent="0.2">
      <c r="A111" s="50" t="s">
        <v>74</v>
      </c>
      <c r="B111" s="77">
        <f>'[1]Lonen 2024'!F39+'[1]Lonen 2024'!F47</f>
        <v>26470</v>
      </c>
      <c r="C111" s="42">
        <f>'[1]Lonen 2024'!H39+'[1]Lonen 2024'!H47</f>
        <v>27841</v>
      </c>
      <c r="D111" s="42">
        <f>'[1]Lonen 2024'!J39+'[1]Lonen 2024'!J47</f>
        <v>28250</v>
      </c>
      <c r="E111" s="42">
        <f>'[1]Lonen 2024'!L39+'[1]Lonen 2024'!L47</f>
        <v>30165</v>
      </c>
      <c r="F111" s="42">
        <f>'[1]Lonen 2024'!N39+'[1]Lonen 2024'!N47</f>
        <v>35198</v>
      </c>
      <c r="G111" s="42">
        <f>'[1]Lonen 2024'!P39+'[1]Lonen 2024'!P47</f>
        <v>29453</v>
      </c>
      <c r="H111" s="42">
        <f>'[1]Lonen 2024'!R39+'[1]Lonen 2024'!R47</f>
        <v>31297</v>
      </c>
      <c r="I111" s="42">
        <f>'[1]Lonen 2024'!S39+'[1]Lonen 2024'!S47</f>
        <v>20251</v>
      </c>
      <c r="J111" s="42">
        <f>'[1]Lonen 2024'!V39+'[1]Lonen 2024'!V47</f>
        <v>26280</v>
      </c>
      <c r="K111" s="42">
        <f>'[1]Lonen 2024'!X39+'[1]Lonen 2024'!X47</f>
        <v>29312</v>
      </c>
      <c r="L111" s="42">
        <f>'[1]Lonen 2024'!Z39+'[1]Lonen 2024'!Z47</f>
        <v>30624</v>
      </c>
      <c r="M111" s="42">
        <f>'[1]Lonen 2024'!AB39+'[1]Lonen 2024'!AB47</f>
        <v>31163</v>
      </c>
      <c r="N111" s="62">
        <f>SUM(B111:M111)</f>
        <v>346304</v>
      </c>
    </row>
    <row r="112" spans="1:15" x14ac:dyDescent="0.2">
      <c r="A112" s="41" t="s">
        <v>75</v>
      </c>
      <c r="B112" s="78">
        <v>7.2</v>
      </c>
      <c r="C112" s="78">
        <v>7.2</v>
      </c>
      <c r="D112" s="78">
        <v>7.2</v>
      </c>
      <c r="E112" s="78">
        <v>7.2</v>
      </c>
      <c r="F112" s="78">
        <v>7.2</v>
      </c>
      <c r="G112" s="78">
        <v>7.2</v>
      </c>
      <c r="H112" s="78">
        <v>7.2</v>
      </c>
      <c r="I112" s="78">
        <v>7.2</v>
      </c>
      <c r="J112" s="78">
        <v>7.2</v>
      </c>
      <c r="K112" s="78">
        <v>7.3</v>
      </c>
      <c r="L112" s="78">
        <v>7.3</v>
      </c>
      <c r="M112" s="45">
        <v>7.4</v>
      </c>
      <c r="N112" s="60">
        <f>AVERAGE(B112:M112)</f>
        <v>7.2333333333333343</v>
      </c>
    </row>
    <row r="113" spans="1:14" x14ac:dyDescent="0.2">
      <c r="A113" s="83"/>
      <c r="B113" s="78"/>
      <c r="C113" s="78"/>
      <c r="D113" s="78"/>
      <c r="E113" s="78"/>
      <c r="F113" s="78"/>
      <c r="G113" s="78"/>
      <c r="H113" s="78"/>
      <c r="I113" s="78"/>
      <c r="J113" s="78"/>
      <c r="K113" s="45"/>
      <c r="L113" s="45"/>
      <c r="M113" s="45"/>
      <c r="N113" s="60"/>
    </row>
    <row r="114" spans="1:14" x14ac:dyDescent="0.2">
      <c r="A114" s="48" t="s">
        <v>14</v>
      </c>
      <c r="B114" s="76">
        <f>[1]kengetallen!H98</f>
        <v>92473.76</v>
      </c>
      <c r="C114" s="76">
        <f>[1]kengetallen!I98</f>
        <v>147786.56</v>
      </c>
      <c r="D114" s="76">
        <f>[1]kengetallen!J98</f>
        <v>141675.93</v>
      </c>
      <c r="E114" s="76">
        <f>[1]kengetallen!K98</f>
        <v>154732.44</v>
      </c>
      <c r="F114" s="76">
        <f>[1]kengetallen!L98</f>
        <v>125337.4</v>
      </c>
      <c r="G114" s="76">
        <f>[1]kengetallen!M98</f>
        <v>158482.07999999999</v>
      </c>
      <c r="H114" s="76">
        <f>[1]kengetallen!N98</f>
        <v>36632.65</v>
      </c>
      <c r="I114" s="76">
        <f>[1]kengetallen!O98</f>
        <v>40612.46</v>
      </c>
      <c r="J114" s="76">
        <f>[1]kengetallen!P98</f>
        <v>166373.62</v>
      </c>
      <c r="K114" s="76">
        <f>[1]kengetallen!Q98</f>
        <v>185012.61</v>
      </c>
      <c r="L114" s="76">
        <f>[1]kengetallen!R98</f>
        <v>253817.42</v>
      </c>
      <c r="M114" s="76">
        <f>[1]kengetallen!S98</f>
        <v>69741.31</v>
      </c>
      <c r="N114" s="62">
        <f>SUM(B114:M114)</f>
        <v>1572678.2399999998</v>
      </c>
    </row>
    <row r="115" spans="1:14" x14ac:dyDescent="0.2">
      <c r="A115" s="53" t="s">
        <v>79</v>
      </c>
      <c r="B115" s="77">
        <f>'[1]Lonen 2024'!F9+'[1]Lonen 2024'!F53</f>
        <v>18138.629999999997</v>
      </c>
      <c r="C115" s="77">
        <f>'[1]Lonen 2024'!H9+'[1]Lonen 2024'!H53</f>
        <v>18138.629999999997</v>
      </c>
      <c r="D115" s="77">
        <f>'[1]Lonen 2024'!J9+'[1]Lonen 2024'!J53</f>
        <v>18138.629999999997</v>
      </c>
      <c r="E115" s="77">
        <f>'[1]Lonen 2024'!L9+'[1]Lonen 2024'!L53</f>
        <v>18138.629999999997</v>
      </c>
      <c r="F115" s="77">
        <f>'[1]Lonen 2024'!N9+'[1]Lonen 2024'!N53</f>
        <v>20931</v>
      </c>
      <c r="G115" s="77">
        <f>'[1]Lonen 2024'!P9+'[1]Lonen 2024'!P53</f>
        <v>17684.629999999997</v>
      </c>
      <c r="H115" s="77">
        <f>'[1]Lonen 2024'!R9+'[1]Lonen 2024'!R53</f>
        <v>17684.629999999997</v>
      </c>
      <c r="I115" s="77">
        <f>'[1]Lonen 2024'!T9+'[1]Lonen 2024'!T53</f>
        <v>19450.629999999997</v>
      </c>
      <c r="J115" s="77">
        <f>'[1]Lonen 2024'!V9+'[1]Lonen 2024'!V53</f>
        <v>20925.629999999997</v>
      </c>
      <c r="K115" s="77">
        <f>'[1]Lonen 2024'!X9+'[1]Lonen 2024'!X53</f>
        <v>23392.629999999997</v>
      </c>
      <c r="L115" s="77">
        <f>'[1]Lonen 2024'!Z9+'[1]Lonen 2024'!Z53</f>
        <v>23392.629999999997</v>
      </c>
      <c r="M115" s="77">
        <f>'[1]Lonen 2024'!AB9+'[1]Lonen 2024'!AB53</f>
        <v>23392.629999999997</v>
      </c>
      <c r="N115" s="62">
        <f>SUM(B115:M115)</f>
        <v>239408.93000000002</v>
      </c>
    </row>
    <row r="116" spans="1:14" x14ac:dyDescent="0.2">
      <c r="A116" s="83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62"/>
    </row>
    <row r="117" spans="1:14" x14ac:dyDescent="0.2">
      <c r="A117" s="53" t="s">
        <v>80</v>
      </c>
      <c r="B117" s="78"/>
      <c r="C117" s="78"/>
      <c r="D117" s="78"/>
      <c r="E117" s="78"/>
      <c r="F117" s="78"/>
      <c r="G117" s="78"/>
      <c r="H117" s="78"/>
      <c r="I117" s="78"/>
      <c r="J117" s="78"/>
      <c r="K117" s="45"/>
      <c r="L117" s="45"/>
      <c r="M117" s="45"/>
      <c r="N117" s="60"/>
    </row>
    <row r="118" spans="1:14" x14ac:dyDescent="0.2">
      <c r="A118" s="53" t="s">
        <v>81</v>
      </c>
      <c r="B118" s="77">
        <f>'[1]Lonen 2024'!F55</f>
        <v>54539.63</v>
      </c>
      <c r="C118" s="77">
        <f>'[1]Lonen 2024'!H55</f>
        <v>55910.63</v>
      </c>
      <c r="D118" s="77">
        <f>'[1]Lonen 2024'!J55</f>
        <v>56319.63</v>
      </c>
      <c r="E118" s="77">
        <f>'[1]Lonen 2024'!L55</f>
        <v>58234.63</v>
      </c>
      <c r="F118" s="77">
        <f>'[1]Lonen 2024'!N55</f>
        <v>63911</v>
      </c>
      <c r="G118" s="77">
        <f>'[1]Lonen 2024'!P55</f>
        <v>52931.63</v>
      </c>
      <c r="H118" s="77">
        <f>'[1]Lonen 2024'!R55</f>
        <v>54098.63</v>
      </c>
      <c r="I118" s="77">
        <f>'[1]Lonen 2024'!T55</f>
        <v>54558.63</v>
      </c>
      <c r="J118" s="77">
        <f>'[1]Lonen 2024'!V55</f>
        <v>55349.63</v>
      </c>
      <c r="K118" s="77">
        <f>'[1]Lonen 2024'!X55</f>
        <v>60847.63</v>
      </c>
      <c r="L118" s="77">
        <f>'[1]Lonen 2024'!Z55</f>
        <v>62159.63</v>
      </c>
      <c r="M118" s="77">
        <f>'[1]Lonen 2024'!AB55</f>
        <v>62786.63</v>
      </c>
      <c r="N118" s="62">
        <f>SUM(B118:M118)</f>
        <v>691647.93</v>
      </c>
    </row>
    <row r="119" spans="1:14" x14ac:dyDescent="0.2">
      <c r="A119" s="53" t="s">
        <v>82</v>
      </c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</row>
    <row r="122" spans="1:14" ht="16" x14ac:dyDescent="0.2">
      <c r="A122" s="11" t="s">
        <v>54</v>
      </c>
      <c r="B122" s="194">
        <v>2025</v>
      </c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6"/>
      <c r="N122" s="12">
        <v>2025</v>
      </c>
    </row>
    <row r="123" spans="1:14" ht="16" x14ac:dyDescent="0.2">
      <c r="A123" s="11"/>
      <c r="B123" s="14" t="s">
        <v>0</v>
      </c>
      <c r="C123" s="14" t="s">
        <v>1</v>
      </c>
      <c r="D123" s="14" t="s">
        <v>2</v>
      </c>
      <c r="E123" s="14" t="s">
        <v>3</v>
      </c>
      <c r="F123" s="14" t="s">
        <v>4</v>
      </c>
      <c r="G123" s="14" t="s">
        <v>46</v>
      </c>
      <c r="H123" s="14" t="s">
        <v>47</v>
      </c>
      <c r="I123" s="14" t="s">
        <v>7</v>
      </c>
      <c r="J123" s="14" t="s">
        <v>8</v>
      </c>
      <c r="K123" s="14" t="s">
        <v>9</v>
      </c>
      <c r="L123" s="14" t="s">
        <v>10</v>
      </c>
      <c r="M123" s="14" t="s">
        <v>11</v>
      </c>
      <c r="N123" s="12" t="s">
        <v>40</v>
      </c>
    </row>
    <row r="124" spans="1:14" x14ac:dyDescent="0.2">
      <c r="A124" s="15" t="s">
        <v>61</v>
      </c>
      <c r="B124" s="68" t="s">
        <v>65</v>
      </c>
      <c r="C124" s="68" t="s">
        <v>65</v>
      </c>
      <c r="D124" s="17"/>
      <c r="E124" s="17"/>
      <c r="F124" s="17"/>
      <c r="G124" s="17"/>
      <c r="H124" s="16"/>
      <c r="I124" s="16"/>
      <c r="J124" s="16"/>
      <c r="K124" s="80"/>
      <c r="L124" s="80"/>
      <c r="M124" s="81"/>
      <c r="N124" s="19" t="e">
        <f>AVERAGE(D124:M124)</f>
        <v>#DIV/0!</v>
      </c>
    </row>
    <row r="125" spans="1:14" x14ac:dyDescent="0.2">
      <c r="A125" s="15" t="s">
        <v>55</v>
      </c>
      <c r="B125" s="21">
        <v>0.33</v>
      </c>
      <c r="C125" s="17">
        <v>0.25</v>
      </c>
      <c r="D125" s="17"/>
      <c r="E125" s="17"/>
      <c r="F125" s="17"/>
      <c r="G125" s="17"/>
      <c r="H125" s="17"/>
      <c r="I125" s="16"/>
      <c r="J125" s="16"/>
      <c r="K125" s="80"/>
      <c r="L125" s="80"/>
      <c r="M125" s="82"/>
      <c r="N125" s="19">
        <f>AVERAGE(B125:M125)</f>
        <v>0.29000000000000004</v>
      </c>
    </row>
    <row r="126" spans="1:14" x14ac:dyDescent="0.2">
      <c r="A126" s="15" t="s">
        <v>59</v>
      </c>
      <c r="B126" s="21">
        <v>0.43</v>
      </c>
      <c r="C126" s="17">
        <v>0.4</v>
      </c>
      <c r="D126" s="17"/>
      <c r="E126" s="17"/>
      <c r="F126" s="17"/>
      <c r="G126" s="17"/>
      <c r="H126" s="17"/>
      <c r="I126" s="16"/>
      <c r="J126" s="16"/>
      <c r="K126" s="80"/>
      <c r="L126" s="80"/>
      <c r="M126" s="82"/>
      <c r="N126" s="19">
        <f>AVERAGE(B126:M126)</f>
        <v>0.41500000000000004</v>
      </c>
    </row>
    <row r="127" spans="1:14" x14ac:dyDescent="0.2">
      <c r="A127" s="15" t="s">
        <v>66</v>
      </c>
      <c r="B127" s="21">
        <v>0.41</v>
      </c>
      <c r="C127" s="17">
        <v>0.43</v>
      </c>
      <c r="D127" s="17"/>
      <c r="E127" s="17"/>
      <c r="F127" s="17"/>
      <c r="G127" s="17"/>
      <c r="H127" s="17"/>
      <c r="I127" s="16"/>
      <c r="J127" s="16"/>
      <c r="K127" s="80"/>
      <c r="L127" s="80"/>
      <c r="M127" s="82"/>
      <c r="N127" s="19">
        <f>AVERAGE(B127:M127)</f>
        <v>0.42</v>
      </c>
    </row>
    <row r="128" spans="1:14" x14ac:dyDescent="0.2">
      <c r="A128" s="15" t="s">
        <v>60</v>
      </c>
      <c r="B128" s="21">
        <v>0.48</v>
      </c>
      <c r="C128" s="17">
        <v>0.48</v>
      </c>
      <c r="D128" s="17"/>
      <c r="E128" s="17"/>
      <c r="F128" s="17"/>
      <c r="G128" s="17"/>
      <c r="H128" s="17"/>
      <c r="I128" s="16"/>
      <c r="J128" s="16"/>
      <c r="K128" s="80"/>
      <c r="L128" s="80"/>
      <c r="M128" s="82"/>
      <c r="N128" s="19">
        <f>AVERAGE(B128:M128)</f>
        <v>0.48</v>
      </c>
    </row>
    <row r="129" spans="1:14" x14ac:dyDescent="0.2">
      <c r="A129" s="15" t="s">
        <v>58</v>
      </c>
      <c r="B129" s="21">
        <v>0.41</v>
      </c>
      <c r="C129" s="17">
        <v>0.35</v>
      </c>
      <c r="D129" s="17"/>
      <c r="E129" s="17"/>
      <c r="F129" s="17"/>
      <c r="G129" s="17"/>
      <c r="H129" s="17"/>
      <c r="I129" s="16"/>
      <c r="J129" s="16"/>
      <c r="K129" s="80"/>
      <c r="L129" s="80"/>
      <c r="M129" s="82"/>
      <c r="N129" s="19">
        <f>AVERAGE(B129:M129)</f>
        <v>0.38</v>
      </c>
    </row>
    <row r="130" spans="1:14" x14ac:dyDescent="0.2">
      <c r="A130" s="15" t="s">
        <v>77</v>
      </c>
      <c r="B130" s="17">
        <v>0.11</v>
      </c>
      <c r="C130" s="17">
        <v>0.38</v>
      </c>
      <c r="D130" s="17"/>
      <c r="E130" s="17"/>
      <c r="F130" s="17"/>
      <c r="G130" s="17"/>
      <c r="H130" s="17"/>
      <c r="I130" s="16"/>
      <c r="J130" s="16"/>
      <c r="K130" s="16"/>
      <c r="L130" s="16"/>
      <c r="M130" s="18"/>
      <c r="N130" s="19">
        <f>AVERAGE(B130:I130)</f>
        <v>0.245</v>
      </c>
    </row>
    <row r="131" spans="1:14" x14ac:dyDescent="0.2">
      <c r="A131" s="22" t="s">
        <v>67</v>
      </c>
      <c r="B131" s="23">
        <f>AVERAGE(B125:B130)</f>
        <v>0.36166666666666664</v>
      </c>
      <c r="C131" s="23">
        <f>AVERAGE(C124:C130)</f>
        <v>0.38166666666666665</v>
      </c>
      <c r="D131" s="23" t="e">
        <f t="shared" ref="D131" si="14">AVERAGE(D124:D129)</f>
        <v>#DIV/0!</v>
      </c>
      <c r="E131" s="23" t="e">
        <f>AVERAGE(E124:E130)</f>
        <v>#DIV/0!</v>
      </c>
      <c r="F131" s="23" t="e">
        <f t="shared" ref="F131:G131" si="15">AVERAGE(F124:F129)</f>
        <v>#DIV/0!</v>
      </c>
      <c r="G131" s="23" t="e">
        <f t="shared" si="15"/>
        <v>#DIV/0!</v>
      </c>
      <c r="H131" s="23" t="e">
        <f>AVERAGE(H125:H129)</f>
        <v>#DIV/0!</v>
      </c>
      <c r="I131" s="23" t="e">
        <f>AVERAGE(I125:I129)</f>
        <v>#DIV/0!</v>
      </c>
      <c r="J131" s="23" t="e">
        <f>AVERAGE(J124:J129)</f>
        <v>#DIV/0!</v>
      </c>
      <c r="K131" s="23" t="e">
        <f t="shared" ref="K131:L131" si="16">AVERAGE(K124:K129)</f>
        <v>#DIV/0!</v>
      </c>
      <c r="L131" s="23" t="e">
        <f t="shared" si="16"/>
        <v>#DIV/0!</v>
      </c>
      <c r="M131" s="23" t="e">
        <f>AVERAGE(M125:M129)</f>
        <v>#DIV/0!</v>
      </c>
      <c r="N131" s="24" t="e">
        <f>AVERAGE(N124:N129)</f>
        <v>#DIV/0!</v>
      </c>
    </row>
    <row r="133" spans="1:14" x14ac:dyDescent="0.2">
      <c r="A133" s="26"/>
      <c r="B133" s="31">
        <v>2025</v>
      </c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29"/>
    </row>
    <row r="134" spans="1:14" x14ac:dyDescent="0.2">
      <c r="A134" s="26"/>
      <c r="B134" s="29" t="s">
        <v>0</v>
      </c>
      <c r="C134" s="30" t="s">
        <v>1</v>
      </c>
      <c r="D134" s="30" t="s">
        <v>2</v>
      </c>
      <c r="E134" s="30" t="s">
        <v>3</v>
      </c>
      <c r="F134" s="30" t="s">
        <v>4</v>
      </c>
      <c r="G134" s="30" t="s">
        <v>46</v>
      </c>
      <c r="H134" s="30" t="s">
        <v>47</v>
      </c>
      <c r="I134" s="31" t="s">
        <v>7</v>
      </c>
      <c r="J134" s="31" t="s">
        <v>8</v>
      </c>
      <c r="K134" s="31" t="s">
        <v>9</v>
      </c>
      <c r="L134" s="31" t="s">
        <v>10</v>
      </c>
      <c r="M134" s="31" t="s">
        <v>11</v>
      </c>
      <c r="N134" s="71"/>
    </row>
    <row r="135" spans="1:14" ht="16" x14ac:dyDescent="0.2">
      <c r="A135" s="32" t="s">
        <v>54</v>
      </c>
      <c r="B135" s="72">
        <f>AVERAGE(B125:B130)</f>
        <v>0.36166666666666664</v>
      </c>
      <c r="C135" s="33">
        <f>AVERAGE(C125:C129)</f>
        <v>0.38200000000000001</v>
      </c>
      <c r="D135" s="33" t="e">
        <f>AVERAGE(D124:D129)</f>
        <v>#DIV/0!</v>
      </c>
      <c r="E135" s="33" t="e">
        <f>AVERAGE(E124:E129)</f>
        <v>#DIV/0!</v>
      </c>
      <c r="F135" s="33" t="e">
        <f>AVERAGE(F124:F129)</f>
        <v>#DIV/0!</v>
      </c>
      <c r="G135" s="33" t="e">
        <f t="shared" ref="G135:H135" si="17">AVERAGE(G124:G129)</f>
        <v>#DIV/0!</v>
      </c>
      <c r="H135" s="33" t="e">
        <f t="shared" si="17"/>
        <v>#DIV/0!</v>
      </c>
      <c r="I135" s="33">
        <v>0.26</v>
      </c>
      <c r="J135" s="33">
        <v>0.52</v>
      </c>
      <c r="K135" s="33">
        <v>0.49</v>
      </c>
      <c r="L135" s="33">
        <v>0.68</v>
      </c>
      <c r="M135" s="55"/>
      <c r="N135" s="34" t="e">
        <f>AVERAGE(B135:M135)</f>
        <v>#DIV/0!</v>
      </c>
    </row>
    <row r="136" spans="1:14" x14ac:dyDescent="0.2">
      <c r="A136" s="32" t="s">
        <v>68</v>
      </c>
      <c r="B136" s="73">
        <f>[1]kengetallen!H151</f>
        <v>33143.11</v>
      </c>
      <c r="C136" s="36">
        <f>[1]kengetallen!I151</f>
        <v>25116.71</v>
      </c>
      <c r="D136" s="36">
        <f>[1]kengetallen!J148</f>
        <v>0</v>
      </c>
      <c r="E136" s="36">
        <f>[1]kengetallen!K148</f>
        <v>0</v>
      </c>
      <c r="F136" s="36">
        <f>[1]kengetallen!L148</f>
        <v>0</v>
      </c>
      <c r="G136" s="36">
        <f>[1]kengetallen!M148</f>
        <v>0</v>
      </c>
      <c r="H136" s="36">
        <f>[1]kengetallen!N148</f>
        <v>0</v>
      </c>
      <c r="I136" s="36">
        <f>[1]kengetallen!O148</f>
        <v>0</v>
      </c>
      <c r="J136" s="36">
        <f>[1]kengetallen!P148</f>
        <v>0</v>
      </c>
      <c r="K136" s="36">
        <f>[1]kengetallen!Q148</f>
        <v>0</v>
      </c>
      <c r="L136" s="36">
        <f>[1]kengetallen!R148</f>
        <v>0</v>
      </c>
      <c r="M136" s="36">
        <f>[1]kengetallen!S148</f>
        <v>0</v>
      </c>
      <c r="N136" s="56">
        <f>SUM(B136:M136)</f>
        <v>58259.82</v>
      </c>
    </row>
    <row r="137" spans="1:14" x14ac:dyDescent="0.2">
      <c r="A137" s="32" t="s">
        <v>69</v>
      </c>
      <c r="B137" s="38">
        <f>[1]kengetallen!H141</f>
        <v>0.11987301123923515</v>
      </c>
      <c r="C137" s="38">
        <f>[1]kengetallen!I141</f>
        <v>0.37303011390232482</v>
      </c>
      <c r="D137" s="38">
        <f>[1]kengetallen!J138</f>
        <v>750.79452054794524</v>
      </c>
      <c r="E137" s="38">
        <f>[1]kengetallen!K138</f>
        <v>726.57534246575347</v>
      </c>
      <c r="F137" s="38">
        <f>[1]kengetallen!L138</f>
        <v>750.79452054794524</v>
      </c>
      <c r="G137" s="38">
        <f>[1]kengetallen!M138</f>
        <v>726.57534246575347</v>
      </c>
      <c r="H137" s="38">
        <f>[1]kengetallen!N138</f>
        <v>750.79452054794524</v>
      </c>
      <c r="I137" s="38">
        <f>[1]kengetallen!O138</f>
        <v>750.79452054794524</v>
      </c>
      <c r="J137" s="38">
        <f>[1]kengetallen!P138</f>
        <v>726.57534246575347</v>
      </c>
      <c r="K137" s="38">
        <f>[1]kengetallen!Q138</f>
        <v>750.79452054794524</v>
      </c>
      <c r="L137" s="38">
        <f>[1]kengetallen!R138</f>
        <v>726.57534246575347</v>
      </c>
      <c r="M137" s="38">
        <f>[1]kengetallen!S138</f>
        <v>750.79452054794524</v>
      </c>
      <c r="N137" s="58">
        <f>AVERAGE(B137:M137)</f>
        <v>617.63011635631892</v>
      </c>
    </row>
    <row r="138" spans="1:14" x14ac:dyDescent="0.2">
      <c r="A138" s="32" t="s">
        <v>70</v>
      </c>
      <c r="B138" s="76">
        <f>[1]kengetallen!H147</f>
        <v>8218.99</v>
      </c>
      <c r="C138" s="40">
        <f>[1]kengetallen!I147</f>
        <v>22360.38</v>
      </c>
      <c r="D138" s="40">
        <f>[1]kengetallen!J144</f>
        <v>0</v>
      </c>
      <c r="E138" s="40">
        <f>[1]kengetallen!K144</f>
        <v>0</v>
      </c>
      <c r="F138" s="40">
        <f>[1]kengetallen!L144</f>
        <v>0</v>
      </c>
      <c r="G138" s="40">
        <f>[1]kengetallen!M144</f>
        <v>0</v>
      </c>
      <c r="H138" s="40">
        <f>[1]kengetallen!N144</f>
        <v>0</v>
      </c>
      <c r="I138" s="40">
        <f>[1]kengetallen!O144</f>
        <v>0</v>
      </c>
      <c r="J138" s="40">
        <f>[1]kengetallen!P144</f>
        <v>0</v>
      </c>
      <c r="K138" s="40">
        <f>[1]kengetallen!Q144</f>
        <v>0</v>
      </c>
      <c r="L138" s="40">
        <f>[1]kengetallen!R144</f>
        <v>0</v>
      </c>
      <c r="M138" s="40">
        <f>[1]kengetallen!S144</f>
        <v>0</v>
      </c>
      <c r="N138" s="56">
        <f>SUM(B138:M138)</f>
        <v>30579.370000000003</v>
      </c>
    </row>
    <row r="139" spans="1:14" x14ac:dyDescent="0.2">
      <c r="A139" s="41" t="s">
        <v>71</v>
      </c>
      <c r="B139" s="77">
        <v>8312</v>
      </c>
      <c r="C139" s="77">
        <v>5516</v>
      </c>
      <c r="D139" s="77">
        <f>'[1]Lonen 2024'!J51</f>
        <v>2038</v>
      </c>
      <c r="E139" s="77">
        <f>'[1]Lonen 2024'!L51</f>
        <v>2038</v>
      </c>
      <c r="F139" s="77">
        <f>'[1]Lonen 2024'!N51</f>
        <v>2038</v>
      </c>
      <c r="G139" s="77">
        <f>'[1]Lonen 2024'!P51</f>
        <v>0</v>
      </c>
      <c r="H139" s="77">
        <f>'[1]Lonen 2024'!R51</f>
        <v>0</v>
      </c>
      <c r="I139" s="42">
        <f>'[1]Lonen 2024'!T51</f>
        <v>0</v>
      </c>
      <c r="J139" s="42">
        <f>'[1]Lonen 2024'!V51</f>
        <v>0</v>
      </c>
      <c r="K139" s="42">
        <f>'[1]Lonen 2024'!X51</f>
        <v>0</v>
      </c>
      <c r="L139" s="42">
        <f>'[1]Lonen 2024'!Z51</f>
        <v>0</v>
      </c>
      <c r="M139" s="42">
        <f>'[1]Lonen 2024'!AB51</f>
        <v>0</v>
      </c>
      <c r="N139" s="56">
        <f>SUM(B139:M139)</f>
        <v>19942</v>
      </c>
    </row>
    <row r="140" spans="1:14" x14ac:dyDescent="0.2">
      <c r="A140" s="41" t="s">
        <v>72</v>
      </c>
      <c r="B140" s="78">
        <v>2.2000000000000002</v>
      </c>
      <c r="C140" s="78">
        <v>1.8</v>
      </c>
      <c r="D140" s="78">
        <v>2.8</v>
      </c>
      <c r="E140" s="78">
        <v>2.8</v>
      </c>
      <c r="F140" s="43">
        <v>2</v>
      </c>
      <c r="G140" s="43">
        <v>1.6</v>
      </c>
      <c r="H140" s="43">
        <v>1.4</v>
      </c>
      <c r="I140" s="43">
        <v>2.2000000000000002</v>
      </c>
      <c r="J140" s="43">
        <v>2.2000000000000002</v>
      </c>
      <c r="K140" s="43">
        <v>2.2000000000000002</v>
      </c>
      <c r="L140" s="43">
        <v>2.2000000000000002</v>
      </c>
      <c r="M140" s="63"/>
      <c r="N140" s="60">
        <f>AVERAGE(B140:M140)</f>
        <v>2.127272727272727</v>
      </c>
    </row>
    <row r="141" spans="1:14" x14ac:dyDescent="0.2"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61"/>
    </row>
    <row r="142" spans="1:14" x14ac:dyDescent="0.2">
      <c r="A142" s="48" t="s">
        <v>73</v>
      </c>
      <c r="B142" s="76">
        <f>[1]kengetallen!H148</f>
        <v>47252.19</v>
      </c>
      <c r="C142" s="40">
        <f>[1]kengetallen!I148</f>
        <v>47737.91</v>
      </c>
      <c r="D142" s="40">
        <f>[1]kengetallen!J145</f>
        <v>0</v>
      </c>
      <c r="E142" s="40">
        <f>[1]kengetallen!K145</f>
        <v>0</v>
      </c>
      <c r="F142" s="40">
        <f>[1]kengetallen!L145</f>
        <v>0</v>
      </c>
      <c r="G142" s="40">
        <f>[1]kengetallen!M145</f>
        <v>0</v>
      </c>
      <c r="H142" s="40">
        <f>[1]kengetallen!N145</f>
        <v>0</v>
      </c>
      <c r="I142" s="40">
        <f>[1]kengetallen!O145</f>
        <v>0</v>
      </c>
      <c r="J142" s="40">
        <f>[1]kengetallen!P145</f>
        <v>0</v>
      </c>
      <c r="K142" s="40">
        <f>[1]kengetallen!Q145</f>
        <v>0</v>
      </c>
      <c r="L142" s="40">
        <f>[1]kengetallen!R145</f>
        <v>0</v>
      </c>
      <c r="M142" s="40">
        <f>[1]kengetallen!S145</f>
        <v>0</v>
      </c>
      <c r="N142" s="62">
        <f>SUM(B142:M142)</f>
        <v>94990.1</v>
      </c>
    </row>
    <row r="143" spans="1:14" x14ac:dyDescent="0.2">
      <c r="A143" s="50" t="s">
        <v>74</v>
      </c>
      <c r="B143" s="77">
        <v>30326</v>
      </c>
      <c r="C143" s="42">
        <v>32674</v>
      </c>
      <c r="D143" s="42">
        <f>'[1]Lonen 2024'!J71+'[1]Lonen 2024'!J79</f>
        <v>296.39999999999998</v>
      </c>
      <c r="E143" s="42">
        <f>'[1]Lonen 2024'!L71+'[1]Lonen 2024'!L79</f>
        <v>296.39999999999998</v>
      </c>
      <c r="F143" s="42">
        <f>'[1]Lonen 2024'!N71+'[1]Lonen 2024'!N79</f>
        <v>296.39999999999998</v>
      </c>
      <c r="G143" s="42">
        <f>'[1]Lonen 2024'!P71+'[1]Lonen 2024'!P79</f>
        <v>164.66666666666666</v>
      </c>
      <c r="H143" s="42">
        <f>'[1]Lonen 2024'!R71+'[1]Lonen 2024'!R79</f>
        <v>164.66666666666666</v>
      </c>
      <c r="I143" s="42">
        <f>'[1]Lonen 2024'!S71+'[1]Lonen 2024'!S79</f>
        <v>1</v>
      </c>
      <c r="J143" s="42">
        <f>'[1]Lonen 2024'!V71+'[1]Lonen 2024'!V79</f>
        <v>164.66666666666666</v>
      </c>
      <c r="K143" s="42">
        <f>'[1]Lonen 2024'!X71+'[1]Lonen 2024'!X79</f>
        <v>164.66666666666666</v>
      </c>
      <c r="L143" s="42">
        <f>'[1]Lonen 2024'!Z71+'[1]Lonen 2024'!Z79</f>
        <v>164.66666666666666</v>
      </c>
      <c r="M143" s="42">
        <f>'[1]Lonen 2024'!AB71+'[1]Lonen 2024'!AB79</f>
        <v>164.66666666666666</v>
      </c>
      <c r="N143" s="62">
        <f>SUM(B143:M143)</f>
        <v>64878.19999999999</v>
      </c>
    </row>
    <row r="144" spans="1:14" x14ac:dyDescent="0.2">
      <c r="A144" s="41" t="s">
        <v>75</v>
      </c>
      <c r="B144" s="78">
        <v>6.97</v>
      </c>
      <c r="C144" s="78">
        <v>7.48</v>
      </c>
      <c r="D144" s="78">
        <v>7.2</v>
      </c>
      <c r="E144" s="78">
        <v>7.2</v>
      </c>
      <c r="F144" s="78">
        <v>7.2</v>
      </c>
      <c r="G144" s="78">
        <v>7.2</v>
      </c>
      <c r="H144" s="78">
        <v>7.2</v>
      </c>
      <c r="I144" s="78">
        <v>7.2</v>
      </c>
      <c r="J144" s="78">
        <v>7.2</v>
      </c>
      <c r="K144" s="78">
        <v>7.3</v>
      </c>
      <c r="L144" s="78">
        <v>7.3</v>
      </c>
      <c r="M144" s="45"/>
      <c r="N144" s="60">
        <f>AVERAGE(B144:M144)</f>
        <v>7.2227272727272727</v>
      </c>
    </row>
    <row r="145" spans="1:14" x14ac:dyDescent="0.2">
      <c r="A145" s="83"/>
      <c r="B145" s="78"/>
      <c r="C145" s="78"/>
      <c r="D145" s="78"/>
      <c r="E145" s="78"/>
      <c r="F145" s="78"/>
      <c r="G145" s="78"/>
      <c r="H145" s="78"/>
      <c r="I145" s="78"/>
      <c r="J145" s="78"/>
      <c r="K145" s="45"/>
      <c r="L145" s="45"/>
      <c r="M145" s="45"/>
      <c r="N145" s="60"/>
    </row>
    <row r="146" spans="1:14" x14ac:dyDescent="0.2">
      <c r="A146" s="48" t="s">
        <v>14</v>
      </c>
      <c r="B146" s="76">
        <f>[1]kengetallen!H133</f>
        <v>98660.03</v>
      </c>
      <c r="C146" s="76">
        <f>[1]kengetallen!I133</f>
        <v>107234.13</v>
      </c>
      <c r="D146" s="76">
        <f>[1]kengetallen!J130</f>
        <v>0</v>
      </c>
      <c r="E146" s="76">
        <f>[1]kengetallen!K130</f>
        <v>0</v>
      </c>
      <c r="F146" s="76">
        <f>[1]kengetallen!L130</f>
        <v>0</v>
      </c>
      <c r="G146" s="76">
        <f>[1]kengetallen!M130</f>
        <v>0</v>
      </c>
      <c r="H146" s="76">
        <f>[1]kengetallen!N130</f>
        <v>0</v>
      </c>
      <c r="I146" s="76">
        <f>[1]kengetallen!O130</f>
        <v>0</v>
      </c>
      <c r="J146" s="76">
        <f>[1]kengetallen!P130</f>
        <v>0</v>
      </c>
      <c r="K146" s="76">
        <f>[1]kengetallen!Q130</f>
        <v>0</v>
      </c>
      <c r="L146" s="76">
        <f>[1]kengetallen!R130</f>
        <v>0</v>
      </c>
      <c r="M146" s="76">
        <f>[1]kengetallen!S130</f>
        <v>0</v>
      </c>
      <c r="N146" s="62">
        <f>SUM(B146:M146)</f>
        <v>205894.16</v>
      </c>
    </row>
    <row r="147" spans="1:14" x14ac:dyDescent="0.2">
      <c r="A147" s="53" t="s">
        <v>79</v>
      </c>
      <c r="B147" s="77">
        <v>8188</v>
      </c>
      <c r="C147" s="77">
        <v>8188</v>
      </c>
      <c r="D147" s="77">
        <f>'[1]Lonen 2024'!J41+'[1]Lonen 2024'!J85</f>
        <v>48.25</v>
      </c>
      <c r="E147" s="77">
        <f>'[1]Lonen 2024'!L41+'[1]Lonen 2024'!L85</f>
        <v>37</v>
      </c>
      <c r="F147" s="77">
        <f>'[1]Lonen 2024'!N41+'[1]Lonen 2024'!N85</f>
        <v>21.25</v>
      </c>
      <c r="G147" s="77">
        <f>'[1]Lonen 2024'!P41+'[1]Lonen 2024'!P85</f>
        <v>46.5</v>
      </c>
      <c r="H147" s="77">
        <f>'[1]Lonen 2024'!R41+'[1]Lonen 2024'!R85</f>
        <v>4</v>
      </c>
      <c r="I147" s="77">
        <f>'[1]Lonen 2024'!T41+'[1]Lonen 2024'!T85</f>
        <v>0</v>
      </c>
      <c r="J147" s="77">
        <f>'[1]Lonen 2024'!V41+'[1]Lonen 2024'!V85</f>
        <v>52.25</v>
      </c>
      <c r="K147" s="77">
        <f>'[1]Lonen 2024'!X41+'[1]Lonen 2024'!X85</f>
        <v>34.5</v>
      </c>
      <c r="L147" s="77">
        <f>'[1]Lonen 2024'!Z41+'[1]Lonen 2024'!Z85</f>
        <v>34.5</v>
      </c>
      <c r="M147" s="77">
        <f>'[1]Lonen 2024'!AB41+'[1]Lonen 2024'!AB85</f>
        <v>34.5</v>
      </c>
      <c r="N147" s="62">
        <f>SUM(B147:M147)</f>
        <v>16688.75</v>
      </c>
    </row>
    <row r="148" spans="1:14" x14ac:dyDescent="0.2">
      <c r="A148" s="83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62"/>
    </row>
    <row r="149" spans="1:14" x14ac:dyDescent="0.2">
      <c r="A149" s="53" t="s">
        <v>80</v>
      </c>
      <c r="B149" s="78"/>
      <c r="C149" s="78"/>
      <c r="D149" s="78"/>
      <c r="E149" s="78"/>
      <c r="F149" s="78"/>
      <c r="G149" s="78"/>
      <c r="H149" s="78"/>
      <c r="I149" s="78"/>
      <c r="J149" s="78"/>
      <c r="K149" s="45"/>
      <c r="L149" s="45"/>
      <c r="M149" s="45"/>
      <c r="N149" s="60"/>
    </row>
    <row r="150" spans="1:14" x14ac:dyDescent="0.2">
      <c r="A150" s="53" t="s">
        <v>81</v>
      </c>
      <c r="B150" s="77">
        <f>'[1]Lonen 2025'!F50</f>
        <v>62565.320000000014</v>
      </c>
      <c r="C150" s="77">
        <f>'[1]Lonen 2025'!H50</f>
        <v>63017.970000000016</v>
      </c>
      <c r="D150" s="77">
        <f>'[1]Lonen 2024'!J87</f>
        <v>38</v>
      </c>
      <c r="E150" s="77">
        <f>'[1]Lonen 2024'!L87</f>
        <v>47.5</v>
      </c>
      <c r="F150" s="77">
        <f>'[1]Lonen 2024'!N87</f>
        <v>32.75</v>
      </c>
      <c r="G150" s="77">
        <f>'[1]Lonen 2024'!P87</f>
        <v>40.75</v>
      </c>
      <c r="H150" s="77">
        <f>'[1]Lonen 2024'!R87</f>
        <v>12.25</v>
      </c>
      <c r="I150" s="77">
        <f>'[1]Lonen 2024'!T87</f>
        <v>25.5</v>
      </c>
      <c r="J150" s="77">
        <f>'[1]Lonen 2024'!V87</f>
        <v>15.25</v>
      </c>
      <c r="K150" s="77">
        <f>'[1]Lonen 2024'!X87</f>
        <v>69.25</v>
      </c>
      <c r="L150" s="77">
        <f>'[1]Lonen 2024'!Z87</f>
        <v>45.25</v>
      </c>
      <c r="M150" s="77">
        <f>'[1]Lonen 2024'!AB87</f>
        <v>24.75</v>
      </c>
      <c r="N150" s="62">
        <f>SUM(B150:M150)</f>
        <v>125934.54000000004</v>
      </c>
    </row>
    <row r="151" spans="1:14" x14ac:dyDescent="0.2">
      <c r="A151" s="53" t="s">
        <v>82</v>
      </c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</row>
  </sheetData>
  <mergeCells count="9">
    <mergeCell ref="B75:N75"/>
    <mergeCell ref="B90:M90"/>
    <mergeCell ref="B122:M122"/>
    <mergeCell ref="A11:A12"/>
    <mergeCell ref="B11:M11"/>
    <mergeCell ref="A36:A37"/>
    <mergeCell ref="B36:M36"/>
    <mergeCell ref="B47:N47"/>
    <mergeCell ref="B63:M6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kengetallen</vt:lpstr>
      <vt:lpstr>Zalen</vt:lpstr>
    </vt:vector>
  </TitlesOfParts>
  <Company>TWC Automatiseringsdiensten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Gerie ten Cate</dc:creator>
  <cp:lastModifiedBy>j.donderwinkel@outlook.com</cp:lastModifiedBy>
  <dcterms:created xsi:type="dcterms:W3CDTF">2025-03-03T10:05:40Z</dcterms:created>
  <dcterms:modified xsi:type="dcterms:W3CDTF">2025-12-03T15:06:54Z</dcterms:modified>
</cp:coreProperties>
</file>